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tabRatio="753" firstSheet="1" activeTab="2"/>
  </bookViews>
  <sheets>
    <sheet name="Printable Record" sheetId="1" r:id="rId1"/>
    <sheet name="Instructions" sheetId="2" r:id="rId2"/>
    <sheet name="Heroes" sheetId="3" r:id="rId3"/>
    <sheet name="Henchmen" sheetId="4" r:id="rId4"/>
    <sheet name="Additional Members" sheetId="5" r:id="rId5"/>
    <sheet name="Stored Equipment" sheetId="6" r:id="rId6"/>
    <sheet name="Campaign Record" sheetId="7" r:id="rId7"/>
    <sheet name="Rules" sheetId="8" r:id="rId8"/>
    <sheet name="Reference" sheetId="9" r:id="rId9"/>
    <sheet name="NPC Reference" sheetId="10" r:id="rId10"/>
    <sheet name="Campaign Reference" sheetId="11" r:id="rId11"/>
    <sheet name="Item Reference" sheetId="12" r:id="rId12"/>
  </sheets>
  <definedNames>
    <definedName name="AcolyteItems">'Item Reference'!$D$471:$D$476</definedName>
    <definedName name="Actions">'Campaign Reference'!$G$2:$G$3</definedName>
    <definedName name="AmazonHench">'Reference'!$L$124:$L$125</definedName>
    <definedName name="AmazonHenchItems">'Item Reference'!$C$301:$C$309</definedName>
    <definedName name="AmazonHeroes">'Reference'!$L$122:$L$123</definedName>
    <definedName name="AmazonHeronieItems">'Item Reference'!$A$301:$A$310</definedName>
    <definedName name="AmazonLeader">'Reference'!$L$121</definedName>
    <definedName name="AmazonScoutItems">'Item Reference'!$D$300:$D$309</definedName>
    <definedName name="AmazonSpecialItems">'Item Reference'!$B$301:$B$312</definedName>
    <definedName name="ArmorSave">'Reference'!$D$84:$E$118</definedName>
    <definedName name="AverlandHench">'Reference'!$L$68:$L$70</definedName>
    <definedName name="AverlandHeroes">'Reference'!$L$65:$L$67</definedName>
    <definedName name="AverlandLeader">'Reference'!$L$64</definedName>
    <definedName name="AverlandMarksmenItems">'Item Reference'!$C$137:$C$152</definedName>
    <definedName name="BattlePhase">'Campaign Reference'!$H$2:$H$3</definedName>
    <definedName name="Battleresult">'Campaign Reference'!$J$2:$J$3</definedName>
    <definedName name="BeastmenHench">'Reference'!$L$76:$L$79</definedName>
    <definedName name="BeastmenHeroes">'Reference'!$L$73:$L$75</definedName>
    <definedName name="BeastmenItems">'Item Reference'!$A$162:$A$175</definedName>
    <definedName name="BeastmenLeader">'Reference'!$L$72</definedName>
    <definedName name="BeastmenShamanItems">'Item Reference'!$D$162:$D$169</definedName>
    <definedName name="BerjaegerItems">'Item Reference'!$B$137:$B$147</definedName>
    <definedName name="BoatSwainItems">'Item Reference'!$E$390:$E$407</definedName>
    <definedName name="BretHench">'Reference'!$L$130:$L$131</definedName>
    <definedName name="BretHeroes">'Reference'!$L$128:$L$129</definedName>
    <definedName name="BretLeader">'Reference'!$L$127</definedName>
    <definedName name="BretonnianBowmentItems">'Item Reference'!$D$314:$D$322</definedName>
    <definedName name="BretonnianKnightItems">'Item Reference'!$A$315:$A$333</definedName>
    <definedName name="BretonnianMenatArmsItems">'Item Reference'!$C$315:$C$327</definedName>
    <definedName name="BretonnianSquireItems">'Item Reference'!$B$315:$B$330</definedName>
    <definedName name="BruteItems">'Item Reference'!$B$178:$B$179</definedName>
    <definedName name="CarnivalHench">'Reference'!$L$84:$L$87</definedName>
    <definedName name="CarnivalHeroes">'Reference'!$L$82:$L$83</definedName>
    <definedName name="CarnivalItems">'Item Reference'!$A$178:$A$197</definedName>
    <definedName name="CarnivalLeader">'Reference'!$L$81</definedName>
    <definedName name="CathayanItems">'Item Reference'!$D$643:$D$654</definedName>
    <definedName name="ClanRatItems">'Item Reference'!$C$566:$C$575</definedName>
    <definedName name="CorsairItems">'Item Reference'!$B$336:$B$352</definedName>
    <definedName name="Creation">'Reference'!$A$5</definedName>
    <definedName name="CultHench">'Reference'!$L$6:$L$8</definedName>
    <definedName name="CultHeroes">'Reference'!$L$4:$L$5</definedName>
    <definedName name="CultLeader">'Reference'!$L$3</definedName>
    <definedName name="DarkElfItems">'Item Reference'!$A$336:$A$355</definedName>
    <definedName name="DarkSoulItems">'Item Reference'!$B$3:$B$16</definedName>
    <definedName name="DefendResult">'Campaign Reference'!$J$5:$J$6</definedName>
    <definedName name="DElfHench">'Reference'!$L$137:$L$139</definedName>
    <definedName name="DElfHeroes">'Reference'!$L$134:$L$136</definedName>
    <definedName name="DElfLeader">'Reference'!$L$133</definedName>
    <definedName name="DP">'NPC Reference'!$A$33:$A$38</definedName>
    <definedName name="Dramatis">'NPC Reference'!$A$33:$W$38</definedName>
    <definedName name="DwarfHench">'Reference'!$L$92:$L$94</definedName>
    <definedName name="DwarfHeroes">'Reference'!$L$90:$L$91</definedName>
    <definedName name="DwarfLeader">'Reference'!$L$89</definedName>
    <definedName name="DwarfWarriorItems">'Item Reference'!$A$200:$A$227</definedName>
    <definedName name="EmissaryItems">'Item Reference'!$A$662:$A$678</definedName>
    <definedName name="Experimental">'Reference'!$E$2:$E$42</definedName>
    <definedName name="FlagellantItems">'Item Reference'!$C$115:$C$118</definedName>
    <definedName name="GhostPirateItems">'Item Reference'!$A$681:$A$690</definedName>
    <definedName name="GhoulHench">'Reference'!$L$277</definedName>
    <definedName name="GhoulHeroes">'Reference'!$L$276</definedName>
    <definedName name="GhoulLeader">'Reference'!$L$275</definedName>
    <definedName name="GnoblarItems">'Item Reference'!$E$536:$E$545</definedName>
    <definedName name="GoblinItems">'Item Reference'!$B$264:$B$274</definedName>
    <definedName name="GPHench">'Reference'!$L$287:$L$288</definedName>
    <definedName name="GPHeroes">'Reference'!$L$286</definedName>
    <definedName name="GPLeader">'Reference'!$L$285</definedName>
    <definedName name="GuardsHench">'Reference'!$L$225:$L$227</definedName>
    <definedName name="GuardsHeroes">'Reference'!$L$222:$L$224</definedName>
    <definedName name="GuardsLeader">'Reference'!$L$221</definedName>
    <definedName name="GunnerItems">'Item Reference'!$D$390:$D$408</definedName>
    <definedName name="HeroinesItems">'Item Reference'!$B$56:$B$74</definedName>
    <definedName name="HiredSwords">'NPC Reference'!$A$2:$U$19</definedName>
    <definedName name="HS">'NPC Reference'!$A$2:$A$19</definedName>
    <definedName name="HungHench">'Reference'!$L$256:$L$258</definedName>
    <definedName name="HungHeroes">'Reference'!$L$253:$L$255</definedName>
    <definedName name="HungLeader">'Reference'!$L$252</definedName>
    <definedName name="Items">'Reference'!$A$13:$A$271</definedName>
    <definedName name="ItemSelection">'Reference'!$D$7:$D$8</definedName>
    <definedName name="JaegerItems">'Item Reference'!$B$282:$B$298</definedName>
    <definedName name="KisleviteHench">'Reference'!$L$100:$L$103</definedName>
    <definedName name="KisleviteHeroes">'Reference'!$L$97:$L$99</definedName>
    <definedName name="KisleviteLeader">'Reference'!$L$96</definedName>
    <definedName name="KislevItems">'Item Reference'!$A$230:$A$255</definedName>
    <definedName name="KnightlyHench">'Reference'!$L$202:$L$204</definedName>
    <definedName name="KnightlyHeroes">'Reference'!$L$201</definedName>
    <definedName name="KnightlyItems">'Item Reference'!$A$509:$A$533</definedName>
    <definedName name="KnightlyLeader">'Reference'!$L$200</definedName>
    <definedName name="KnightVItems">'Item Reference'!$B$643:$B$659</definedName>
    <definedName name="KroxigorItems">'Item Reference'!$E$357:$E$358</definedName>
    <definedName name="KurganHench">'Reference'!$L$250</definedName>
    <definedName name="KurganHeroes">'Reference'!$L$245:$L$247</definedName>
    <definedName name="KurganLeader">'Reference'!$L$244</definedName>
    <definedName name="KurganMarauderHenchItems">'Item Reference'!$B$603:$B$616</definedName>
    <definedName name="KurganMarauderHeroItems">'Item Reference'!$A$603:$A$620</definedName>
    <definedName name="LeadbelcherItems">'Item Reference'!$D$536</definedName>
    <definedName name="LichePriest">'Item Reference'!$C$472:$C$478</definedName>
    <definedName name="LizardHench">'Reference'!$L$144:$L$147</definedName>
    <definedName name="LizardHeroes">'Reference'!$L$142:$L$143</definedName>
    <definedName name="LizardLeader">'Reference'!$L$141</definedName>
    <definedName name="Locations">'Campaign Reference'!$B$2:$B$56</definedName>
    <definedName name="LunaticItems">'Item Reference'!$B$552:$B$559</definedName>
    <definedName name="ManeaterItems">'Item Reference'!$A$536:$A$549</definedName>
    <definedName name="MarauderHench">'Reference'!$L$240:$L$242</definedName>
    <definedName name="MarauderHenchItems">'Item Reference'!$B$584:$B$596</definedName>
    <definedName name="MarauderHeroes">'Reference'!$L$237:$L$239</definedName>
    <definedName name="MarauderHeroItems">'Item Reference'!$A$584:$A$600</definedName>
    <definedName name="MarauderLeader">'Reference'!$L$236</definedName>
    <definedName name="MarksmenItems">'Item Reference'!$B$30:$B$46</definedName>
    <definedName name="MasterItems">'Reference'!$A$12:$B$271</definedName>
    <definedName name="MercenaryItems">'Item Reference'!$A$30:$A$52</definedName>
    <definedName name="MerchantHench">'Reference'!$L$264:$L$266</definedName>
    <definedName name="MerchantHenchItems">'Item Reference'!$C$643:$C$654</definedName>
    <definedName name="MerchantHeroes">'Reference'!$L$261:$L$263</definedName>
    <definedName name="MerchantHeroItems">'Item Reference'!$A$643:$A$659</definedName>
    <definedName name="MerchantLeader">'Reference'!$L$260</definedName>
    <definedName name="MercHench">'Reference'!$L$14:$L$16</definedName>
    <definedName name="MercHeroes">'Reference'!$L$11:$L$13</definedName>
    <definedName name="MercLeader">'Reference'!$L$10</definedName>
    <definedName name="MidHench">'Reference'!$L$23:$L$26</definedName>
    <definedName name="MidHeroes">'Reference'!$L$19:$L$22</definedName>
    <definedName name="MidLeader">'Reference'!$L$18</definedName>
    <definedName name="MonkHench">'Reference'!$L$271:$L$273</definedName>
    <definedName name="MonkHeroes">'Reference'!$L$269:$L$270</definedName>
    <definedName name="MonkItems">'Item Reference'!$C$662:$C$669</definedName>
    <definedName name="MonkLeader">'Reference'!$L$268</definedName>
    <definedName name="MordheimerHench">'Reference'!$L$218:$L$219</definedName>
    <definedName name="MordheimerHeroes">'Reference'!$L$215:$L$217</definedName>
    <definedName name="MordheimerItems">'Item Reference'!$A$552:$A$563</definedName>
    <definedName name="MordheimerLeader">'Reference'!$L$214</definedName>
    <definedName name="MordheimRulebook">'Reference'!$E$2:$E$9</definedName>
    <definedName name="MountainguardItems">'Item Reference'!$A$137:$A$159</definedName>
    <definedName name="MutantItems">'Item Reference'!$D$3:$D$26</definedName>
    <definedName name="MutationItems">'Item Reference'!$C$3:$C$11</definedName>
    <definedName name="NorseBerserkerItems">'Item Reference'!$C$376:$C$384</definedName>
    <definedName name="NorseHench">'Reference'!$L$153:$L$155</definedName>
    <definedName name="NorseHenchItems">'Item Reference'!$D$376:$D$386</definedName>
    <definedName name="NorseHeroes">'Reference'!$L$150:$L$152</definedName>
    <definedName name="NorseHeroesItems">'Item Reference'!$A$376:$A$388</definedName>
    <definedName name="NorseHunterItems">'Item Reference'!$B$376:$B$386</definedName>
    <definedName name="NorseLeader">'Reference'!$L$149</definedName>
    <definedName name="Official">'Reference'!$E$2:$E$16</definedName>
    <definedName name="OgreBullItems">'Item Reference'!$B$536:$B$545</definedName>
    <definedName name="OgreButcherItems">'Item Reference'!$C$536:$C$541</definedName>
    <definedName name="OgreHench">'Reference'!$L$210:$L$212</definedName>
    <definedName name="OgreHeroes">'Reference'!$L$207:$L$209</definedName>
    <definedName name="OgreItems">'Item Reference'!$D$281:$D$285</definedName>
    <definedName name="OgreLeader">'Reference'!$L$206</definedName>
    <definedName name="OrcHench">'Reference'!$L$108:$L$111</definedName>
    <definedName name="OrcHeroes">'Reference'!$L$106:$L$107</definedName>
    <definedName name="OrcItems">'Item Reference'!$A$264:$A$279</definedName>
    <definedName name="OrcLeader">'Reference'!$L$105</definedName>
    <definedName name="OrcShamanItems">'Item Reference'!$C$264:$C$275</definedName>
    <definedName name="OrdHeroes">'Reference'!$L$106:$L$107</definedName>
    <definedName name="OstanderHench">'Reference'!$L$116:$L$119</definedName>
    <definedName name="OstanderHeroes">'Reference'!$L$114:$L$115</definedName>
    <definedName name="OstanderLeader">'Reference'!$L$113</definedName>
    <definedName name="OstlanderItems">'Item Reference'!$A$282:$A$298</definedName>
    <definedName name="OutlawHench">'Reference'!$L$182:$L$183</definedName>
    <definedName name="OutlawHeroes">'Reference'!$L$179:$L$181</definedName>
    <definedName name="OutlawHeroItems">'Item Reference'!$A$452:$A$469</definedName>
    <definedName name="OutlawItems">'Item Reference'!$B$451:$B$463</definedName>
    <definedName name="OutlawLeader">'Reference'!$L$178</definedName>
    <definedName name="PersuersItems">'Item Reference'!$B$412:$B$417</definedName>
    <definedName name="PestilensHench">'Reference'!$L$232:$L$234</definedName>
    <definedName name="PestilensHeroes">'Reference'!$L$230:$L$231</definedName>
    <definedName name="PestilensItems">'Item Reference'!$A$566:$A$581</definedName>
    <definedName name="PestilensLeader">'Reference'!$L$229</definedName>
    <definedName name="PicTable">#REF!</definedName>
    <definedName name="PirateHench">'Reference'!$L$160:$L$163</definedName>
    <definedName name="PirateHeroes">'Reference'!$L$158:$L$159</definedName>
    <definedName name="PirateHeroItems">'Item Reference'!$A$391:$A$408</definedName>
    <definedName name="PirateItems">'Item Reference'!$B$391:$B$407</definedName>
    <definedName name="PirateLeader">'Reference'!$L$157</definedName>
    <definedName name="PitFighterItems">'Item Reference'!$A$412:$A$415</definedName>
    <definedName name="PitHench">'Reference'!$L$168:$L$170</definedName>
    <definedName name="PitHeroes">'Reference'!$L$166:$L$167</definedName>
    <definedName name="PitLeader">'Reference'!$L$165</definedName>
    <definedName name="PitOgreItems">'Item Reference'!$C$412:$C$421</definedName>
    <definedName name="PitTrollSlayerItems">'Item Reference'!$D$411:$D$424</definedName>
    <definedName name="PlagueMonkItems">'Item Reference'!$B$566:$B$576</definedName>
    <definedName name="PossessedItems">'Item Reference'!$A$3:$A$17</definedName>
    <definedName name="PriestofMorrItems">'Item Reference'!$C$30:$C$32</definedName>
    <definedName name="ReikHench">'Reference'!$L$32:$L$34</definedName>
    <definedName name="ReikHeroes">'Reference'!$L$29:$L$31</definedName>
    <definedName name="ReikLeader">'Reference'!$L$28</definedName>
    <definedName name="RestlessArmor">'Item Reference'!$B$490:$B$494</definedName>
    <definedName name="RestlessHench">'Reference'!$L$195:$L$198</definedName>
    <definedName name="RestlessHeroes">'Reference'!$L$193:$L$194</definedName>
    <definedName name="RestlessItems">'Item Reference'!$A$491:$A$506</definedName>
    <definedName name="RestlessLeader">'Reference'!$L$192</definedName>
    <definedName name="RuffianItems">'Item Reference'!$C$282:$C$289</definedName>
    <definedName name="SaurusHenchItems">'Item Reference'!$F$357:$F$369</definedName>
    <definedName name="SaurusItems">'Item Reference'!$A$358:$A$371</definedName>
    <definedName name="ScoutItems">'Item Reference'!$D$137:$D$146</definedName>
    <definedName name="SellSwordItems">'Item Reference'!$E$643:$E$656</definedName>
    <definedName name="ShadeItems">'Item Reference'!$C$336:$C$342</definedName>
    <definedName name="ShadowHench">'Reference'!$L$175:$L$176</definedName>
    <definedName name="ShadowHeroes">'Reference'!$L$173:$L$174</definedName>
    <definedName name="ShadowHeroItems">'Item Reference'!$A$427:$A$449</definedName>
    <definedName name="ShadowLeader">'Reference'!$L$172</definedName>
    <definedName name="ShadowWarriorItems">'Item Reference'!$B$427:$B$439</definedName>
    <definedName name="Shards">'Reference'!$D$62:$J$69</definedName>
    <definedName name="ShardsFound">'Reference'!$E$52:$F$58</definedName>
    <definedName name="ShortHench">'Reference'!$A$10</definedName>
    <definedName name="ShortName">'Reference'!$A$9</definedName>
    <definedName name="SisterHench">'Reference'!$L$39:$L$40</definedName>
    <definedName name="SisterHeroes">'Reference'!$L$37:$L$38</definedName>
    <definedName name="SisterLeader">'Reference'!$L$36</definedName>
    <definedName name="SistersItems">'Item Reference'!$A$56:$A$71</definedName>
    <definedName name="SkavenHench">'Reference'!$L$46:$L$48</definedName>
    <definedName name="SkavenHenchItems">'Item Reference'!$B$77:$B$86</definedName>
    <definedName name="SkavenHeroes">'Reference'!$L$43:$L$45</definedName>
    <definedName name="SkavenHeroItems">'Item Reference'!$A$77:$A$93</definedName>
    <definedName name="SkavenLeader">'Reference'!$L$42</definedName>
    <definedName name="SkinkHenchItems">'Item Reference'!$D$357:$D$368</definedName>
    <definedName name="SkinkItems">'Item Reference'!$B$358:$B$372</definedName>
    <definedName name="SkinkPriestItems">'Item Reference'!$C$358:$C$373</definedName>
    <definedName name="SlayerItems">'Item Reference'!$A$693:$A$718</definedName>
    <definedName name="SoliderItems">'Item Reference'!$B$662:$B$675</definedName>
    <definedName name="Source">'Reference'!$A$3</definedName>
    <definedName name="Sources">'Reference'!$D$2:$D$5</definedName>
    <definedName name="SquireItems">'Item Reference'!$B$508:$B$528</definedName>
    <definedName name="Stats">'Reference'!$L$3:$Z$303</definedName>
    <definedName name="Status">'Reference'!$D$57:$D$58</definedName>
    <definedName name="StreltsiItems">'Item Reference'!$B$230:$B$250</definedName>
    <definedName name="SwabbyItems">'Item Reference'!$C$391:$C$401</definedName>
    <definedName name="ThundererItems">'Item Reference'!$B$200:$B$215</definedName>
    <definedName name="TombHench">'Reference'!$L$188:$L$190</definedName>
    <definedName name="TombHeroes">'Reference'!$L$186:$L$187</definedName>
    <definedName name="TombLeader">'Reference'!$L$185</definedName>
    <definedName name="TombLord">'Item Reference'!$A$473:$A$488</definedName>
    <definedName name="TombUndead">'Item Reference'!$B$472:$B$485</definedName>
    <definedName name="TrollSlayerItems">'Item Reference'!$C$200:$C$218</definedName>
    <definedName name="TypeList">'Reference'!$D$12:$D$55</definedName>
    <definedName name="UndeadHench">'Reference'!$L$53:$L$55</definedName>
    <definedName name="UndeadHeroes">'Reference'!$L$51:$L$52</definedName>
    <definedName name="UndeadItems">'Item Reference'!$A$96:$A$112</definedName>
    <definedName name="UndeadLeader">'Reference'!$L$50</definedName>
    <definedName name="UngorItems">'Item Reference'!$B$162:$B$168</definedName>
    <definedName name="Units">'Reference'!$D$12:$E$55</definedName>
    <definedName name="Unofficial">'Reference'!$E$2:$E$26</definedName>
    <definedName name="VeteranItems">'Item Reference'!$C$508:$C$529</definedName>
    <definedName name="VSHench">'Reference'!$L$294:$L$296</definedName>
    <definedName name="VSHeroes">'Reference'!$L$291:$L$293</definedName>
    <definedName name="VSLeader">'Reference'!$L$290</definedName>
    <definedName name="Warbands">'Reference'!$E$2:$I$42</definedName>
    <definedName name="Warriors">'Reference'!$D$71:$E$76</definedName>
    <definedName name="WitchHunterHench">'Reference'!$L$60:$L$62</definedName>
    <definedName name="WitchHunterHeroes">'Reference'!$L$58:$L$59</definedName>
    <definedName name="WitchHunterItems">'Item Reference'!$A$115:$A$132</definedName>
    <definedName name="WitchHunterLeader">'Reference'!$L$57</definedName>
    <definedName name="WolfHench">'Reference'!$L$282:$L$283</definedName>
    <definedName name="WolfHeroes">'Reference'!$L$280:$L$281</definedName>
    <definedName name="WolfItems">'Item Reference'!$E$30</definedName>
    <definedName name="WolfLeader">'Reference'!$L$279</definedName>
    <definedName name="WolfPriestItems">'Item Reference'!$D$30:$D$38</definedName>
    <definedName name="ZealotItems">'Item Reference'!$B$115:$B$128</definedName>
  </definedNames>
  <calcPr fullCalcOnLoad="1"/>
</workbook>
</file>

<file path=xl/sharedStrings.xml><?xml version="1.0" encoding="utf-8"?>
<sst xmlns="http://schemas.openxmlformats.org/spreadsheetml/2006/main" count="5373" uniqueCount="1367">
  <si>
    <t>Rush to Defend an area?</t>
  </si>
  <si>
    <t>Defended Area</t>
  </si>
  <si>
    <t>Current Warband Members</t>
  </si>
  <si>
    <t>Looting (if no were Battles fought)</t>
  </si>
  <si>
    <t>Exploration (if a battle was fought)</t>
  </si>
  <si>
    <t>Upkeep Estimate</t>
  </si>
  <si>
    <t>Gold from Looting</t>
  </si>
  <si>
    <t>M</t>
  </si>
  <si>
    <t>WS</t>
  </si>
  <si>
    <t>BS</t>
  </si>
  <si>
    <t>S</t>
  </si>
  <si>
    <t>T</t>
  </si>
  <si>
    <t>W</t>
  </si>
  <si>
    <t>I</t>
  </si>
  <si>
    <t>A</t>
  </si>
  <si>
    <t>Ld</t>
  </si>
  <si>
    <t xml:space="preserve"> Name</t>
  </si>
  <si>
    <t xml:space="preserve"> Equipment</t>
  </si>
  <si>
    <t>Treasury</t>
  </si>
  <si>
    <t>Warband Rating</t>
  </si>
  <si>
    <r>
      <t xml:space="preserve"> Total Experience       </t>
    </r>
    <r>
      <rPr>
        <b/>
        <sz val="8"/>
        <color indexed="12"/>
        <rFont val="Trebuchet MS"/>
        <family val="2"/>
      </rPr>
      <t xml:space="preserve">   </t>
    </r>
    <r>
      <rPr>
        <sz val="8"/>
        <color indexed="12"/>
        <rFont val="Trebuchet MS"/>
        <family val="2"/>
      </rPr>
      <t>83</t>
    </r>
  </si>
  <si>
    <r>
      <t xml:space="preserve"> Warband Name</t>
    </r>
    <r>
      <rPr>
        <b/>
        <sz val="10"/>
        <color indexed="12"/>
        <rFont val="Trebuchet MS"/>
        <family val="2"/>
      </rPr>
      <t xml:space="preserve">  </t>
    </r>
    <r>
      <rPr>
        <sz val="10"/>
        <color indexed="12"/>
        <rFont val="Trebuchet MS"/>
        <family val="2"/>
      </rPr>
      <t xml:space="preserve">      </t>
    </r>
    <r>
      <rPr>
        <b/>
        <sz val="10"/>
        <color indexed="12"/>
        <rFont val="Trebuchet MS"/>
        <family val="2"/>
      </rPr>
      <t xml:space="preserve">   </t>
    </r>
  </si>
  <si>
    <r>
      <t xml:space="preserve"> Warband Type            </t>
    </r>
    <r>
      <rPr>
        <sz val="10"/>
        <rFont val="Trebuchet MS"/>
        <family val="2"/>
      </rPr>
      <t xml:space="preserve"> </t>
    </r>
  </si>
  <si>
    <r>
      <t xml:space="preserve"> Gold Crowns                       </t>
    </r>
    <r>
      <rPr>
        <b/>
        <sz val="8"/>
        <color indexed="12"/>
        <rFont val="Trebuchet MS"/>
        <family val="2"/>
      </rPr>
      <t xml:space="preserve">   </t>
    </r>
  </si>
  <si>
    <t xml:space="preserve"> Type                   </t>
  </si>
  <si>
    <r>
      <t xml:space="preserve"> Name  </t>
    </r>
    <r>
      <rPr>
        <b/>
        <sz val="10"/>
        <color indexed="12"/>
        <rFont val="Trebuchet MS"/>
        <family val="2"/>
      </rPr>
      <t xml:space="preserve">       </t>
    </r>
    <r>
      <rPr>
        <sz val="10"/>
        <color indexed="12"/>
        <rFont val="Trebuchet MS"/>
        <family val="2"/>
      </rPr>
      <t xml:space="preserve"> </t>
    </r>
  </si>
  <si>
    <r>
      <t xml:space="preserve"> Number   </t>
    </r>
    <r>
      <rPr>
        <b/>
        <sz val="10"/>
        <color indexed="12"/>
        <rFont val="Trebuchet MS"/>
        <family val="2"/>
      </rPr>
      <t xml:space="preserve"> </t>
    </r>
    <r>
      <rPr>
        <sz val="10"/>
        <color indexed="12"/>
        <rFont val="Trebuchet MS"/>
        <family val="2"/>
      </rPr>
      <t xml:space="preserve"> </t>
    </r>
  </si>
  <si>
    <r>
      <t xml:space="preserve"> Type     </t>
    </r>
    <r>
      <rPr>
        <b/>
        <sz val="10"/>
        <color indexed="12"/>
        <rFont val="Trebuchet MS"/>
        <family val="2"/>
      </rPr>
      <t xml:space="preserve">     </t>
    </r>
  </si>
  <si>
    <t>Base Cost</t>
  </si>
  <si>
    <t>Total Cost</t>
  </si>
  <si>
    <t>Cost</t>
  </si>
  <si>
    <t>Armor Save</t>
  </si>
  <si>
    <t>Additional Dagger</t>
  </si>
  <si>
    <t>Amulet of the Moon</t>
  </si>
  <si>
    <t>Axe</t>
  </si>
  <si>
    <t>Ball and Chain</t>
  </si>
  <si>
    <t>Banner</t>
  </si>
  <si>
    <t>Barding</t>
  </si>
  <si>
    <t>Blowpipe</t>
  </si>
  <si>
    <t>Blunderbuss</t>
  </si>
  <si>
    <t>Bota Bag</t>
  </si>
  <si>
    <t>Bow</t>
  </si>
  <si>
    <t>Brazier Iron</t>
  </si>
  <si>
    <t>Buckler</t>
  </si>
  <si>
    <t>Crossbow</t>
  </si>
  <si>
    <t>Crossbow Pistol</t>
  </si>
  <si>
    <t>Double Barreled Pistol</t>
  </si>
  <si>
    <t>Double Barreled Pistol, Brace</t>
  </si>
  <si>
    <t>Dueling Pistol</t>
  </si>
  <si>
    <t>Dueling Pistol, Brace</t>
  </si>
  <si>
    <t>Dwarf Axe</t>
  </si>
  <si>
    <t>Fighting Claws</t>
  </si>
  <si>
    <t>First Dagger</t>
  </si>
  <si>
    <t>Flail</t>
  </si>
  <si>
    <t>Forest Cloak</t>
  </si>
  <si>
    <t>Garlic</t>
  </si>
  <si>
    <t>Gromril Armor</t>
  </si>
  <si>
    <t>Halberd</t>
  </si>
  <si>
    <t>Hammer of Witches</t>
  </si>
  <si>
    <t>Handgun</t>
  </si>
  <si>
    <t>Heavy Armor</t>
  </si>
  <si>
    <t>Helmet</t>
  </si>
  <si>
    <t>Hochland Long Hunting Rifle</t>
  </si>
  <si>
    <t>Horse</t>
  </si>
  <si>
    <t>Horseman's Hammer</t>
  </si>
  <si>
    <t>Ithilmar Armor</t>
  </si>
  <si>
    <t>Javelins</t>
  </si>
  <si>
    <t>Lance</t>
  </si>
  <si>
    <t>Lantern</t>
  </si>
  <si>
    <t>Light Armor</t>
  </si>
  <si>
    <t>Lock Picks</t>
  </si>
  <si>
    <t>Long Bow</t>
  </si>
  <si>
    <t>Lucky Charm</t>
  </si>
  <si>
    <t>Magic Gourd</t>
  </si>
  <si>
    <t>Morning Star</t>
  </si>
  <si>
    <t>Net</t>
  </si>
  <si>
    <t>Nomad Robes</t>
  </si>
  <si>
    <t>Opulent Couch</t>
  </si>
  <si>
    <t>Pavise</t>
  </si>
  <si>
    <t>Pistol</t>
  </si>
  <si>
    <t>Pistol, Brace</t>
  </si>
  <si>
    <t>Rabbits Foot</t>
  </si>
  <si>
    <t>Rapier</t>
  </si>
  <si>
    <t>Repeater Crossbow</t>
  </si>
  <si>
    <t>Rope and Hook</t>
  </si>
  <si>
    <t>Shield</t>
  </si>
  <si>
    <t>Short Bow</t>
  </si>
  <si>
    <t>Sigmarite Warhammer</t>
  </si>
  <si>
    <t>Sling</t>
  </si>
  <si>
    <t>Spear</t>
  </si>
  <si>
    <t>Squig Prodder</t>
  </si>
  <si>
    <t>Steel Whip</t>
  </si>
  <si>
    <t>Sunstaff</t>
  </si>
  <si>
    <t>Superior Blackpowder</t>
  </si>
  <si>
    <t>Sword</t>
  </si>
  <si>
    <t>Sword Breaker</t>
  </si>
  <si>
    <t>Tarot Cards</t>
  </si>
  <si>
    <t>Torch</t>
  </si>
  <si>
    <t>Warhorse</t>
  </si>
  <si>
    <t>Warplock Pistol</t>
  </si>
  <si>
    <t>Warplock Pistol, Brace</t>
  </si>
  <si>
    <t>Weeping Blades</t>
  </si>
  <si>
    <t>Wolfcloak</t>
  </si>
  <si>
    <t>Item</t>
  </si>
  <si>
    <t>Cult of the Possessed</t>
  </si>
  <si>
    <t>Marienburg Mercenaries</t>
  </si>
  <si>
    <t>Reikland Mercenaries</t>
  </si>
  <si>
    <t>Middenheim Mercenaries</t>
  </si>
  <si>
    <t>Sisters of Sigmar</t>
  </si>
  <si>
    <t>Skaven</t>
  </si>
  <si>
    <t>Undead</t>
  </si>
  <si>
    <t>Witch Hunters</t>
  </si>
  <si>
    <t>Warbands</t>
  </si>
  <si>
    <t>Magister</t>
  </si>
  <si>
    <t>Possessed</t>
  </si>
  <si>
    <t>Darksouls</t>
  </si>
  <si>
    <t>XP</t>
  </si>
  <si>
    <t>Brethren</t>
  </si>
  <si>
    <t>LD</t>
  </si>
  <si>
    <t>Leader</t>
  </si>
  <si>
    <t>Wizard</t>
  </si>
  <si>
    <t>Mutations</t>
  </si>
  <si>
    <t>Crazed</t>
  </si>
  <si>
    <t>Mutant</t>
  </si>
  <si>
    <t>Mutation: Daemon Soul</t>
  </si>
  <si>
    <t>Mutation: Great Claw</t>
  </si>
  <si>
    <t>Mutation: Cloven Hoofs</t>
  </si>
  <si>
    <t>Mutation: Tentacle</t>
  </si>
  <si>
    <t>Mutation: Blackblood</t>
  </si>
  <si>
    <t>Mutation: Spines</t>
  </si>
  <si>
    <t>Mutation: ScorpionTail</t>
  </si>
  <si>
    <t>Mutation: Extra Arm</t>
  </si>
  <si>
    <t>Mutation: Hideous</t>
  </si>
  <si>
    <t>Expert Swordsman</t>
  </si>
  <si>
    <t>Sigmarite Matriarch</t>
  </si>
  <si>
    <t>Sister Superior</t>
  </si>
  <si>
    <t>Auger</t>
  </si>
  <si>
    <t>Novices</t>
  </si>
  <si>
    <t>Blessed Sight</t>
  </si>
  <si>
    <t>Assassin Adept</t>
  </si>
  <si>
    <t>Eshin Sorcerer</t>
  </si>
  <si>
    <t>Black Skaven</t>
  </si>
  <si>
    <t>Verminkin</t>
  </si>
  <si>
    <t>Giant Rats</t>
  </si>
  <si>
    <t>Rat Ogre</t>
  </si>
  <si>
    <t>Vampire</t>
  </si>
  <si>
    <t>Necromancer</t>
  </si>
  <si>
    <t>Zombies</t>
  </si>
  <si>
    <t>Ghouls</t>
  </si>
  <si>
    <t>Dire Wolves</t>
  </si>
  <si>
    <t>Cause Fear</t>
  </si>
  <si>
    <t>Witch Hunter Captain</t>
  </si>
  <si>
    <t>Warrior-Priest</t>
  </si>
  <si>
    <t>Zealots</t>
  </si>
  <si>
    <t>Flagellants</t>
  </si>
  <si>
    <t>Warhounds</t>
  </si>
  <si>
    <t>Leader, Burn the Witch</t>
  </si>
  <si>
    <t>Burn the Witch</t>
  </si>
  <si>
    <t>Prayers</t>
  </si>
  <si>
    <t>Fanatical</t>
  </si>
  <si>
    <t>Animals</t>
  </si>
  <si>
    <t>Night Runner</t>
  </si>
  <si>
    <t>Dreg</t>
  </si>
  <si>
    <t>Witch Hunter</t>
  </si>
  <si>
    <t>MercHeroes</t>
  </si>
  <si>
    <t>SisterHeroes</t>
  </si>
  <si>
    <t>SkavenHeroes</t>
  </si>
  <si>
    <t>UndeadHeroes</t>
  </si>
  <si>
    <t>WitchHunterHeroes</t>
  </si>
  <si>
    <t>CultHench</t>
  </si>
  <si>
    <t>MercHench</t>
  </si>
  <si>
    <t>SisterHench</t>
  </si>
  <si>
    <t>UndeadHench</t>
  </si>
  <si>
    <t>WitchHunterHench</t>
  </si>
  <si>
    <t>CultHeroes</t>
  </si>
  <si>
    <t>Champion</t>
  </si>
  <si>
    <t>SkavenHench</t>
  </si>
  <si>
    <t>Selected Subsets</t>
  </si>
  <si>
    <t>Fear, Stpidity, Experience, Large Target</t>
  </si>
  <si>
    <t>Leader, Prayers of Sigmar</t>
  </si>
  <si>
    <t>Leader, Perfect Killer</t>
  </si>
  <si>
    <t>Leader, Wizard</t>
  </si>
  <si>
    <t>Fear, Mutations</t>
  </si>
  <si>
    <t>Pack Size, Experience</t>
  </si>
  <si>
    <t>Sources</t>
  </si>
  <si>
    <t>MordheimRulebook</t>
  </si>
  <si>
    <t>Unofficial</t>
  </si>
  <si>
    <t>Experimental</t>
  </si>
  <si>
    <t>Averland Mercenaries</t>
  </si>
  <si>
    <t>Beastmen Raiders</t>
  </si>
  <si>
    <t>Carnival of Chaos</t>
  </si>
  <si>
    <t>Dwarf Treasure Hunters</t>
  </si>
  <si>
    <t>Kislevite Warband</t>
  </si>
  <si>
    <t>Orcs &amp; Goblins</t>
  </si>
  <si>
    <t>Ostander Mercenaries</t>
  </si>
  <si>
    <t>Official</t>
  </si>
  <si>
    <t>AverlandHeroes</t>
  </si>
  <si>
    <t>AverlandHench</t>
  </si>
  <si>
    <t>Sergeant</t>
  </si>
  <si>
    <t>Bergjaeger</t>
  </si>
  <si>
    <t>SetTraps</t>
  </si>
  <si>
    <t>Mountainguard</t>
  </si>
  <si>
    <t>Halfling Scouts</t>
  </si>
  <si>
    <t>Promotion</t>
  </si>
  <si>
    <t>Averland Captain</t>
  </si>
  <si>
    <t>Amazon Warriors</t>
  </si>
  <si>
    <t>Bretonnian Knights</t>
  </si>
  <si>
    <t>Dark Elves</t>
  </si>
  <si>
    <t>Lizardmen Warriors</t>
  </si>
  <si>
    <t>Pirate Crew</t>
  </si>
  <si>
    <t>Pit Fighters</t>
  </si>
  <si>
    <t>Shadow Warriors</t>
  </si>
  <si>
    <t>The Outlaws of Stirwood Forest</t>
  </si>
  <si>
    <t>Tomb Guardians</t>
  </si>
  <si>
    <t>Beastman Chief</t>
  </si>
  <si>
    <t>Shaman</t>
  </si>
  <si>
    <t>Bestigors</t>
  </si>
  <si>
    <t>Centigors</t>
  </si>
  <si>
    <t>Gors</t>
  </si>
  <si>
    <t>Ungor</t>
  </si>
  <si>
    <t>Minotaur</t>
  </si>
  <si>
    <t>Warhounds of Chaos</t>
  </si>
  <si>
    <t>1(2)</t>
  </si>
  <si>
    <t>Drunken, Woodland Dwelling, Trample</t>
  </si>
  <si>
    <t>Lowest of the Low</t>
  </si>
  <si>
    <t>Fear, Large Target, Bloodgreed, Animal</t>
  </si>
  <si>
    <t>CultLeader</t>
  </si>
  <si>
    <t>MercLeader</t>
  </si>
  <si>
    <t>SisterLeader</t>
  </si>
  <si>
    <t>SkavenLeader</t>
  </si>
  <si>
    <t>UndeadLeader</t>
  </si>
  <si>
    <t>WitchHunterLeader</t>
  </si>
  <si>
    <t>AverlandLeader</t>
  </si>
  <si>
    <t>BeastmenLeader</t>
  </si>
  <si>
    <t>Maximum Warbands Here</t>
  </si>
  <si>
    <t>CarnivalLeader</t>
  </si>
  <si>
    <t>CarnivalHeroes</t>
  </si>
  <si>
    <t>CarnivalHench</t>
  </si>
  <si>
    <t>DwarfLeader</t>
  </si>
  <si>
    <t>DwarfHeroes</t>
  </si>
  <si>
    <t>DwarfHench</t>
  </si>
  <si>
    <t>KisleviteLeader</t>
  </si>
  <si>
    <t>KisleviteHeroes</t>
  </si>
  <si>
    <t>KisleviteHench</t>
  </si>
  <si>
    <t>OrcLeader</t>
  </si>
  <si>
    <t>OrcHeroes</t>
  </si>
  <si>
    <t>OrcHench</t>
  </si>
  <si>
    <t>OstanderLeader</t>
  </si>
  <si>
    <t>OstanderHeroes</t>
  </si>
  <si>
    <t>OstanderHench</t>
  </si>
  <si>
    <t>AmazonLeader</t>
  </si>
  <si>
    <t>AmazonHeroes</t>
  </si>
  <si>
    <t>AmazonHench</t>
  </si>
  <si>
    <t>LizardLeader</t>
  </si>
  <si>
    <t>LizardHeroes</t>
  </si>
  <si>
    <t>LizardHench</t>
  </si>
  <si>
    <t>NorseLeader</t>
  </si>
  <si>
    <t>NorseHeroes</t>
  </si>
  <si>
    <t>NorseHench</t>
  </si>
  <si>
    <t>PirateLeader</t>
  </si>
  <si>
    <t>PirateHeroes</t>
  </si>
  <si>
    <t>PirateHench</t>
  </si>
  <si>
    <t>PitLeader</t>
  </si>
  <si>
    <t>PitHeroes</t>
  </si>
  <si>
    <t>PitHench</t>
  </si>
  <si>
    <t>ShadowLeader</t>
  </si>
  <si>
    <t>ShadowHeroes</t>
  </si>
  <si>
    <t>ShadowHench</t>
  </si>
  <si>
    <t>OutlawLeader</t>
  </si>
  <si>
    <t>OutlawHeroes</t>
  </si>
  <si>
    <t>OutlawHench</t>
  </si>
  <si>
    <t>TombLeader</t>
  </si>
  <si>
    <t>TombHeroes</t>
  </si>
  <si>
    <t>TombHench</t>
  </si>
  <si>
    <t>Averland Youngblood</t>
  </si>
  <si>
    <t>Averland Marksmen</t>
  </si>
  <si>
    <t>Carnival Master</t>
  </si>
  <si>
    <t>Brutes</t>
  </si>
  <si>
    <t>Tainted Ones</t>
  </si>
  <si>
    <t>Plague Bearers</t>
  </si>
  <si>
    <t>Carnival Brethren</t>
  </si>
  <si>
    <t>Nurglings</t>
  </si>
  <si>
    <t>Unnatrual Strength</t>
  </si>
  <si>
    <t>Nurgle's Blessings</t>
  </si>
  <si>
    <t>Leader, Cause Fear, No Pain, Immune to Poison, Immune to Psychology</t>
  </si>
  <si>
    <t>Cause Fear, May not Run, No Pain, No Brain, mmune to Psychology, Immune to Poison</t>
  </si>
  <si>
    <t>Charge, May not Run, Cause Fear,  Unliving, No Pain, Immune to Psychology, Immune to Poison</t>
  </si>
  <si>
    <t>Cloud of Flies, Stream of Corruption, Demonic, Cause Fear, Daemoinc Aura, Daemonic Instability, Immune to Poison, Immune to Psychology</t>
  </si>
  <si>
    <t>Cloud of Flies, Swarm, Demonic, Immune to Poison, Daemonic Instability, Immune to Psychology, Daemonic Aura</t>
  </si>
  <si>
    <t>Noble</t>
  </si>
  <si>
    <t>Engineer</t>
  </si>
  <si>
    <t>Dwarf Clansman</t>
  </si>
  <si>
    <t>Dwarf Thunderers</t>
  </si>
  <si>
    <t>Beardlings</t>
  </si>
  <si>
    <t>Expert Weaponsmith</t>
  </si>
  <si>
    <t>Deathwish, Slayer Skills</t>
  </si>
  <si>
    <t>Druzhina Captain</t>
  </si>
  <si>
    <t>Bear Tamer</t>
  </si>
  <si>
    <t>Esaul</t>
  </si>
  <si>
    <t>Cossacks</t>
  </si>
  <si>
    <t>Kislevite Warriors</t>
  </si>
  <si>
    <t>Leader, Inheritance</t>
  </si>
  <si>
    <t>Bear Handler</t>
  </si>
  <si>
    <t>Hate Chaos</t>
  </si>
  <si>
    <t>Gun-Rest</t>
  </si>
  <si>
    <t>Trained Bear</t>
  </si>
  <si>
    <t>Trained, Fearsome, Bear Hug, Fiercely Loyal, Animal</t>
  </si>
  <si>
    <t>Boss</t>
  </si>
  <si>
    <t>Orc Shaman</t>
  </si>
  <si>
    <t>Orc Boyz</t>
  </si>
  <si>
    <t>Goblin Warriors</t>
  </si>
  <si>
    <t>Cave Squigs</t>
  </si>
  <si>
    <t>Troll</t>
  </si>
  <si>
    <t>Big 'Un</t>
  </si>
  <si>
    <t>Animosity</t>
  </si>
  <si>
    <t>Animosity, Not Orcs, Runts</t>
  </si>
  <si>
    <t>2d6</t>
  </si>
  <si>
    <t>Movement, Minderz, Not orcs, Animals</t>
  </si>
  <si>
    <t>Fear, Stupidity, Regeneration, Dumb Monster, Always Hungry, Vomit Attack</t>
  </si>
  <si>
    <t>Elder</t>
  </si>
  <si>
    <t>Priest of Taal</t>
  </si>
  <si>
    <t>Kin</t>
  </si>
  <si>
    <t>Ruffians</t>
  </si>
  <si>
    <t>Jaeger</t>
  </si>
  <si>
    <t>Ogre</t>
  </si>
  <si>
    <t>Prayers, Strictures</t>
  </si>
  <si>
    <t>Drunk, No Respect</t>
  </si>
  <si>
    <t>Allowed Warbands</t>
  </si>
  <si>
    <t>Priestess</t>
  </si>
  <si>
    <t>Totem Warrior</t>
  </si>
  <si>
    <t>Scouts</t>
  </si>
  <si>
    <t>Amazon Champion</t>
  </si>
  <si>
    <t>Frenzy</t>
  </si>
  <si>
    <t>Stealthy</t>
  </si>
  <si>
    <t>Questing Knight</t>
  </si>
  <si>
    <t>Knight Errant</t>
  </si>
  <si>
    <t>Squire</t>
  </si>
  <si>
    <t>Men-at-Arms</t>
  </si>
  <si>
    <t>Bowmen</t>
  </si>
  <si>
    <t>Leader, Knights Virture</t>
  </si>
  <si>
    <t>Knights Virture</t>
  </si>
  <si>
    <t>BretHeroes</t>
  </si>
  <si>
    <t>BretHench</t>
  </si>
  <si>
    <t>High Born</t>
  </si>
  <si>
    <t>Beastmaster</t>
  </si>
  <si>
    <t>Corsairs</t>
  </si>
  <si>
    <t>Shades</t>
  </si>
  <si>
    <t>Cold One Beasthounds</t>
  </si>
  <si>
    <t>Melee Specialists</t>
  </si>
  <si>
    <t>Cold One Beasthound</t>
  </si>
  <si>
    <t>Dark Elf Sorceress</t>
  </si>
  <si>
    <t>Natural Stealth</t>
  </si>
  <si>
    <t>Animals, Beastmaster, Stupidity, Scaly Skin, Fear</t>
  </si>
  <si>
    <t>DElfLeader</t>
  </si>
  <si>
    <t>DElfHeroes</t>
  </si>
  <si>
    <t>DElfHench</t>
  </si>
  <si>
    <t>Skink Priest</t>
  </si>
  <si>
    <t>Saurus Totem Warrior</t>
  </si>
  <si>
    <t>Skink Great Crest</t>
  </si>
  <si>
    <t>Skink Braves</t>
  </si>
  <si>
    <t>Saurus Braves</t>
  </si>
  <si>
    <t>Kroxigor</t>
  </si>
  <si>
    <t>1+1</t>
  </si>
  <si>
    <t>Jarl</t>
  </si>
  <si>
    <t>Berserker</t>
  </si>
  <si>
    <t>Marauders</t>
  </si>
  <si>
    <t>Wolves</t>
  </si>
  <si>
    <t>Hunters</t>
  </si>
  <si>
    <t>Berserkers</t>
  </si>
  <si>
    <t>Fear, Bestial</t>
  </si>
  <si>
    <t>Animals, Pack Leader</t>
  </si>
  <si>
    <t>Ship's Captain</t>
  </si>
  <si>
    <t>Crew</t>
  </si>
  <si>
    <t>Gunners</t>
  </si>
  <si>
    <t>Boatswains</t>
  </si>
  <si>
    <t>Swabbies</t>
  </si>
  <si>
    <t>Swivel Gun is Dangerous</t>
  </si>
  <si>
    <t>Expert Riggers</t>
  </si>
  <si>
    <t>Not Hired, Never Gain XP, Rabble, Aint True Pirates, They Got Away</t>
  </si>
  <si>
    <t>Pit King</t>
  </si>
  <si>
    <t>Ogre Pit Fighter</t>
  </si>
  <si>
    <t>Pursuers</t>
  </si>
  <si>
    <t>Leader, Pit Fighter</t>
  </si>
  <si>
    <t>Pit Fighter, Hard to Kill, Hard Head, Hate Orcs and Goblins, Grudgebearers, Death Wish</t>
  </si>
  <si>
    <t>Pit Fighter</t>
  </si>
  <si>
    <t>Pit Fighter, Fear, Large, Skills, Slow Witted</t>
  </si>
  <si>
    <t>Pit Fighter, Evade</t>
  </si>
  <si>
    <t>Shadow Master</t>
  </si>
  <si>
    <t>Shadow Walker</t>
  </si>
  <si>
    <t>Shadow Weaver</t>
  </si>
  <si>
    <t>Shadow Novices</t>
  </si>
  <si>
    <t>Liche Priest</t>
  </si>
  <si>
    <t>Skeleton Warriors</t>
  </si>
  <si>
    <t>Tomb Lord</t>
  </si>
  <si>
    <t>Leader, Undead</t>
  </si>
  <si>
    <t>Wizard, Undead</t>
  </si>
  <si>
    <t>-</t>
  </si>
  <si>
    <t>2*</t>
  </si>
  <si>
    <t>Living, Animals, Scorpions Sting</t>
  </si>
  <si>
    <t>Special Rules</t>
  </si>
  <si>
    <t>Equipment</t>
  </si>
  <si>
    <t>To add a war band</t>
  </si>
  <si>
    <t>Add Stats on Reference column L as shown</t>
  </si>
  <si>
    <t>Name Leader Cell with the Name from the Leader column of the Waband table</t>
  </si>
  <si>
    <t>Select and name all Hero cells with the name in the Hero column</t>
  </si>
  <si>
    <t xml:space="preserve">Select and name all Henchmen cells with the name in the Henchmen column </t>
  </si>
  <si>
    <t>Possibly exapnd the Stats name to include the added information</t>
  </si>
  <si>
    <t>Dagger</t>
  </si>
  <si>
    <t>Hunting Rifle</t>
  </si>
  <si>
    <t>Hammer</t>
  </si>
  <si>
    <t>Mace</t>
  </si>
  <si>
    <t>Double-handed Weapon</t>
  </si>
  <si>
    <t>MercenaryItems</t>
  </si>
  <si>
    <t>MarksmenItems</t>
  </si>
  <si>
    <t>Double Barreled Hunting Rifle</t>
  </si>
  <si>
    <t>Club</t>
  </si>
  <si>
    <t>Beastmen</t>
  </si>
  <si>
    <t>PossessedItems</t>
  </si>
  <si>
    <t>MutationItems</t>
  </si>
  <si>
    <t>MutantItems</t>
  </si>
  <si>
    <t>DarkSoulItems</t>
  </si>
  <si>
    <t>SistersItems</t>
  </si>
  <si>
    <t>HeroinesItems</t>
  </si>
  <si>
    <t>Holy Tome</t>
  </si>
  <si>
    <t>Blessed Water</t>
  </si>
  <si>
    <t>Holy Relic</t>
  </si>
  <si>
    <t>SkavenHeroItems</t>
  </si>
  <si>
    <t>SkavenHenchItems</t>
  </si>
  <si>
    <t>Throwing Stars</t>
  </si>
  <si>
    <t>Throwing Knives</t>
  </si>
  <si>
    <t>None</t>
  </si>
  <si>
    <t>UndeadItems</t>
  </si>
  <si>
    <t>WitchHunterItems</t>
  </si>
  <si>
    <t>ZealotItems</t>
  </si>
  <si>
    <t>FlagellantItems</t>
  </si>
  <si>
    <t>ScoutItems</t>
  </si>
  <si>
    <t>AverlandMarksmenItems</t>
  </si>
  <si>
    <t>BergjaegerItems</t>
  </si>
  <si>
    <t>Hunting Arrows</t>
  </si>
  <si>
    <t>MountainguardItems</t>
  </si>
  <si>
    <t>BeastmenItems</t>
  </si>
  <si>
    <t>UngorItems</t>
  </si>
  <si>
    <t>Battle Axe</t>
  </si>
  <si>
    <t>BeastmenShamanItems</t>
  </si>
  <si>
    <t>BeastmenHeroes</t>
  </si>
  <si>
    <t>BeastmenHench</t>
  </si>
  <si>
    <t>CarnivalItems</t>
  </si>
  <si>
    <t>BruteItems</t>
  </si>
  <si>
    <t>Plague Cart</t>
  </si>
  <si>
    <t>*</t>
  </si>
  <si>
    <t>Plague Cart, Guardian, Immune to Psychology</t>
  </si>
  <si>
    <t>DwarfWarriorItems</t>
  </si>
  <si>
    <t>ThundererItems</t>
  </si>
  <si>
    <t>Gromril Additional Dagger</t>
  </si>
  <si>
    <t>Gromril Hammer</t>
  </si>
  <si>
    <t>Gromril Mace</t>
  </si>
  <si>
    <t>Gromril Axe</t>
  </si>
  <si>
    <t>Gromril Dwarf Axe</t>
  </si>
  <si>
    <t>Gromril Sword</t>
  </si>
  <si>
    <t>Gromril Double-handed Weapon</t>
  </si>
  <si>
    <t>Gromril Spear</t>
  </si>
  <si>
    <t>Gromril Halberd</t>
  </si>
  <si>
    <t>TrollSlayerItems</t>
  </si>
  <si>
    <t>Troll Slayer</t>
  </si>
  <si>
    <t>OstlanderItems</t>
  </si>
  <si>
    <t>JaegerItems</t>
  </si>
  <si>
    <t>RuffianItems</t>
  </si>
  <si>
    <t>OgreItems</t>
  </si>
  <si>
    <t>KislevItems</t>
  </si>
  <si>
    <t>Streltsi</t>
  </si>
  <si>
    <t>StreltsiItems</t>
  </si>
  <si>
    <t>OrcItems</t>
  </si>
  <si>
    <t>GoblinItems</t>
  </si>
  <si>
    <t>OrcShamanItems</t>
  </si>
  <si>
    <t>Mad Cap Mushrooms</t>
  </si>
  <si>
    <t>Large Members</t>
  </si>
  <si>
    <t>Total Members</t>
  </si>
  <si>
    <t>Fear, Large Target, Skills, Slow Witted</t>
  </si>
  <si>
    <t>Scaly Skin, Aquatic, Cause Fear, Large Target, Animal</t>
  </si>
  <si>
    <t>Restless Dead</t>
  </si>
  <si>
    <t>RestlessLeader</t>
  </si>
  <si>
    <t>RestlessHeroes</t>
  </si>
  <si>
    <t>RestlessHench</t>
  </si>
  <si>
    <t>Add the name on the Reference Tab Column E. Add Shorts names in same format as shown</t>
  </si>
  <si>
    <t>Liche</t>
  </si>
  <si>
    <t>Grave Guard</t>
  </si>
  <si>
    <t>Skeletons</t>
  </si>
  <si>
    <t>Wights</t>
  </si>
  <si>
    <t>Scarecrows</t>
  </si>
  <si>
    <t>Wizard,Cause Fear, Immune to Psychology, No Pain, Immune to Poison,Eternal, Feed Upon Magic, Warrior Wizard, Advancement</t>
  </si>
  <si>
    <t>Wizard, Apprentices, Gofer</t>
  </si>
  <si>
    <t>Wight Blades, Cause Fear, Immune to Poison, Immune to Psychlogy, No Pain, Mat not run, No deal</t>
  </si>
  <si>
    <t>Cause Fear, May not run, Immune to Psychology, Immune to Poison, No Pain, No Brain</t>
  </si>
  <si>
    <t>Cause Fear, May not run, Immune to Psychology, Immune to Poison, Experience</t>
  </si>
  <si>
    <t>3(6)</t>
  </si>
  <si>
    <t xml:space="preserve"> Immune to Psychology, Immune to Poison, No Pain, No Brain, No substance, Flammable, Construct, Animated Construct</t>
  </si>
  <si>
    <t>RestlessItems</t>
  </si>
  <si>
    <t>RestlessArmor</t>
  </si>
  <si>
    <t>Create the item lists and name all the items in it as needed</t>
  </si>
  <si>
    <t>Knightly Orders</t>
  </si>
  <si>
    <t>KnightlyLeader</t>
  </si>
  <si>
    <t>KnightlyHeroes</t>
  </si>
  <si>
    <t>KnightlyHench</t>
  </si>
  <si>
    <t>killershrike.com</t>
  </si>
  <si>
    <t>Preceptor</t>
  </si>
  <si>
    <t>Knight</t>
  </si>
  <si>
    <t>KnightlyItems</t>
  </si>
  <si>
    <t>Leader, Armored</t>
  </si>
  <si>
    <t>Armored</t>
  </si>
  <si>
    <t>Fledgeling Knights</t>
  </si>
  <si>
    <t>Squires</t>
  </si>
  <si>
    <t>SquireItems</t>
  </si>
  <si>
    <t>Veteran Squires</t>
  </si>
  <si>
    <t>Scut Work, No Warhorse</t>
  </si>
  <si>
    <t>Crusty Veteran, Scut Work, Only at Creation</t>
  </si>
  <si>
    <t>Falchion</t>
  </si>
  <si>
    <t>"+1s -1I"</t>
  </si>
  <si>
    <t>War Horse</t>
  </si>
  <si>
    <t>Knights Starting Warhorse</t>
  </si>
  <si>
    <t>Knights Starting Horse</t>
  </si>
  <si>
    <t>Knights Starting Barding</t>
  </si>
  <si>
    <t>VeteransItems</t>
  </si>
  <si>
    <t>Knights Starting Lance</t>
  </si>
  <si>
    <t>Shards Found</t>
  </si>
  <si>
    <t>Shards Sold</t>
  </si>
  <si>
    <t>Status</t>
  </si>
  <si>
    <t>Total XP</t>
  </si>
  <si>
    <t>Starting Crowns</t>
  </si>
  <si>
    <t>Wyrdstone Sale</t>
  </si>
  <si>
    <t>Number of Warriors</t>
  </si>
  <si>
    <t>Shards</t>
  </si>
  <si>
    <t>Column</t>
  </si>
  <si>
    <t>Notable Events</t>
  </si>
  <si>
    <t>OOAed Enemies</t>
  </si>
  <si>
    <t>Scenarios Survived</t>
  </si>
  <si>
    <t>Scenarios Won</t>
  </si>
  <si>
    <t>Total</t>
  </si>
  <si>
    <t>Gold Adjustment</t>
  </si>
  <si>
    <t>Version</t>
  </si>
  <si>
    <t>Experimental Source</t>
  </si>
  <si>
    <t>Claw of the Old Ones</t>
  </si>
  <si>
    <t>Sun Gauntlet</t>
  </si>
  <si>
    <t>Healing Herbs</t>
  </si>
  <si>
    <t>AmazonHeroineItems</t>
  </si>
  <si>
    <t>AmazonSpecialItems</t>
  </si>
  <si>
    <t>AmazonHenchItems</t>
  </si>
  <si>
    <t>AmazonScoutItems</t>
  </si>
  <si>
    <t>TombUndead</t>
  </si>
  <si>
    <t>LichePriest</t>
  </si>
  <si>
    <t>Asp Arrows</t>
  </si>
  <si>
    <t>Nehekharan Javelin</t>
  </si>
  <si>
    <t>TombLord</t>
  </si>
  <si>
    <t>Staff</t>
  </si>
  <si>
    <t>Serpent Staff</t>
  </si>
  <si>
    <t>AcolyteItems</t>
  </si>
  <si>
    <t>Giant Scorpions</t>
  </si>
  <si>
    <t>PirateItems</t>
  </si>
  <si>
    <t>Boat Hook</t>
  </si>
  <si>
    <t>Cat O' Nine Tails</t>
  </si>
  <si>
    <t>Toughened Leather</t>
  </si>
  <si>
    <t>PirateHeroItems</t>
  </si>
  <si>
    <t>SwabbyItems</t>
  </si>
  <si>
    <t>Swivel</t>
  </si>
  <si>
    <t>Ball Shot</t>
  </si>
  <si>
    <t>Chain Shot</t>
  </si>
  <si>
    <t>Grape Shot</t>
  </si>
  <si>
    <t>GunnerItems</t>
  </si>
  <si>
    <t>BoatSwainItems</t>
  </si>
  <si>
    <t>Cutlass</t>
  </si>
  <si>
    <t>Hired Swords</t>
  </si>
  <si>
    <t>Hire</t>
  </si>
  <si>
    <t>Upkeep</t>
  </si>
  <si>
    <t>Rating</t>
  </si>
  <si>
    <t xml:space="preserve">I </t>
  </si>
  <si>
    <t>Rules</t>
  </si>
  <si>
    <t>Skills</t>
  </si>
  <si>
    <t>Combat, Speed, Strength</t>
  </si>
  <si>
    <t>Ogre Bodyguard</t>
  </si>
  <si>
    <t>Morning Star, Spiked Gauntlet, Helmet</t>
  </si>
  <si>
    <t xml:space="preserve">Fear, Large </t>
  </si>
  <si>
    <t>Combat, Strength</t>
  </si>
  <si>
    <t>Either two swords, axes or clubs (or any mix of them), or a double-handed weapon . Light armour.</t>
  </si>
  <si>
    <t>Halfling Scout</t>
  </si>
  <si>
    <t>Bow, Dagger, Helmet</t>
  </si>
  <si>
    <t>Cook</t>
  </si>
  <si>
    <t>Speed, Shooting</t>
  </si>
  <si>
    <t>Warlock</t>
  </si>
  <si>
    <t>2 Spells</t>
  </si>
  <si>
    <t>Academic</t>
  </si>
  <si>
    <t>Freelancer</t>
  </si>
  <si>
    <t>Heavy Armor, Shield, Lance, Sword, Warhorse</t>
  </si>
  <si>
    <t>Elf Ranger</t>
  </si>
  <si>
    <t>Elf Bow, Sword, Elven Cloak</t>
  </si>
  <si>
    <t>Shooting, Speed, Special</t>
  </si>
  <si>
    <t>Seeker, Excellent Sight</t>
  </si>
  <si>
    <t>Light Armor &amp; Shield</t>
  </si>
  <si>
    <t>Heavy Armor &amp; Shield</t>
  </si>
  <si>
    <t>Dramatis Personae</t>
  </si>
  <si>
    <t>Computed Stats</t>
  </si>
  <si>
    <t>Todo</t>
  </si>
  <si>
    <t>Editable fields/Printable pages</t>
  </si>
  <si>
    <t>Human Mercenaries</t>
  </si>
  <si>
    <t>Averland Mercs</t>
  </si>
  <si>
    <t>Gromril Armor &amp; Shield</t>
  </si>
  <si>
    <t>BretonnianKnightItems</t>
  </si>
  <si>
    <t>BretonnianSquireItems</t>
  </si>
  <si>
    <t>BretonnianMenatArmsItems</t>
  </si>
  <si>
    <t>BretonnianBowmentItems</t>
  </si>
  <si>
    <t>Bretonnian Starting Sword</t>
  </si>
  <si>
    <t>Bretonnian Starting Barding</t>
  </si>
  <si>
    <t>BretLeader</t>
  </si>
  <si>
    <t>DarkElfItems</t>
  </si>
  <si>
    <t>ShadeItems</t>
  </si>
  <si>
    <t>Beastlash</t>
  </si>
  <si>
    <t>CorsairItems</t>
  </si>
  <si>
    <t>Dark Venom</t>
  </si>
  <si>
    <t>Sea Dragon Cloak</t>
  </si>
  <si>
    <t>Armor Saves</t>
  </si>
  <si>
    <t>SeaDragon Cloak</t>
  </si>
  <si>
    <t>"5+/4+"</t>
  </si>
  <si>
    <t>6+</t>
  </si>
  <si>
    <t>5+</t>
  </si>
  <si>
    <t>4+</t>
  </si>
  <si>
    <t>3+</t>
  </si>
  <si>
    <t>"3+/2+"</t>
  </si>
  <si>
    <t>Light Armor, Shield &amp; Cloak</t>
  </si>
  <si>
    <t>SaurusItems</t>
  </si>
  <si>
    <t>Stone Axe</t>
  </si>
  <si>
    <t>Bone Helmet</t>
  </si>
  <si>
    <t>SkinkItems</t>
  </si>
  <si>
    <t>Bolas</t>
  </si>
  <si>
    <t>Thorwing Knives</t>
  </si>
  <si>
    <t>SkinkPriestItems</t>
  </si>
  <si>
    <t>SkinkHenchItems</t>
  </si>
  <si>
    <t>KroxigorItems</t>
  </si>
  <si>
    <t>Reptile Venom</t>
  </si>
  <si>
    <t>NorseHeroesItems</t>
  </si>
  <si>
    <t>NorseHunterItems</t>
  </si>
  <si>
    <t>Throwing Axes</t>
  </si>
  <si>
    <t>NorseBerserkerItems</t>
  </si>
  <si>
    <t>NorseHeroItems</t>
  </si>
  <si>
    <t>NorseHenchItems</t>
  </si>
  <si>
    <t>PitFighterItems</t>
  </si>
  <si>
    <t>Orc Style (Helmet/Dagger/Axe/Shield)</t>
  </si>
  <si>
    <t>Undead Style (Helmet/Dagger/Spiked Gauntlet/Sword)</t>
  </si>
  <si>
    <t>Empire Style (Helmet/Dagger/Double-handed Weapon/Light Armor)</t>
  </si>
  <si>
    <t>Chaos Style (Helmet/Dagger/Flail/Shield/Light Armor)</t>
  </si>
  <si>
    <t>Witch Elf Style(Helmet/Dagger/2 x Swords)</t>
  </si>
  <si>
    <t>Alt Witch Elf Style (Helmet/Dagger/Spear &amp; Net)</t>
  </si>
  <si>
    <t>PersuersItems</t>
  </si>
  <si>
    <t>PitOgreItems</t>
  </si>
  <si>
    <t>Spiked Gauntlet</t>
  </si>
  <si>
    <t>PitTrollSlayerItems</t>
  </si>
  <si>
    <t>Pit Fighter Troll Slayer</t>
  </si>
  <si>
    <t>Pit Fighter Veteran</t>
  </si>
  <si>
    <t>Cabin Boy</t>
  </si>
  <si>
    <t>Bondsman</t>
  </si>
  <si>
    <t>Skink Style 1 (Helmet/Dagger/Trident/Net)</t>
  </si>
  <si>
    <t>Skink Style 2 (Helmet/Dagger/Trident/Buckler)</t>
  </si>
  <si>
    <t>Skink Style 3 (Helmet/Dagger/Javelin/Net)</t>
  </si>
  <si>
    <t>Skink Style 4 (Helmet/Dagger/Javelin/Buckler)</t>
  </si>
  <si>
    <t>ShadowWarriorItems</t>
  </si>
  <si>
    <t>ShadowHeroItems</t>
  </si>
  <si>
    <t>Elf Bow</t>
  </si>
  <si>
    <t>Standard of Nagarythe</t>
  </si>
  <si>
    <t>War Horn of Nagarythe</t>
  </si>
  <si>
    <t>Elven Cloak</t>
  </si>
  <si>
    <t>Elven Wine</t>
  </si>
  <si>
    <t>Elven Runestones</t>
  </si>
  <si>
    <t>Ithilmar Sword</t>
  </si>
  <si>
    <t>Ithilmar Spear</t>
  </si>
  <si>
    <t>Ithilmar Armor &amp; Shield</t>
  </si>
  <si>
    <t>Border Town Buring</t>
  </si>
  <si>
    <t>Bandit Leader</t>
  </si>
  <si>
    <t>Petty Thief</t>
  </si>
  <si>
    <t>Cleric</t>
  </si>
  <si>
    <t>Outlaws</t>
  </si>
  <si>
    <t>OutlawItems</t>
  </si>
  <si>
    <t>Disciple of Sigmar</t>
  </si>
  <si>
    <t>OutlawHeroItems</t>
  </si>
  <si>
    <t>Outlaw Marksmen</t>
  </si>
  <si>
    <t>Additional XP</t>
  </si>
  <si>
    <t>Skill Groups</t>
  </si>
  <si>
    <t>Armor/Style</t>
  </si>
  <si>
    <t>Promoted Henchmen</t>
  </si>
  <si>
    <t>Route on</t>
  </si>
  <si>
    <t>Hire Cost</t>
  </si>
  <si>
    <t>E1</t>
  </si>
  <si>
    <t>E2</t>
  </si>
  <si>
    <t>E3</t>
  </si>
  <si>
    <t>E4</t>
  </si>
  <si>
    <t>E5</t>
  </si>
  <si>
    <t>Armor</t>
  </si>
  <si>
    <t>Skills Groups</t>
  </si>
  <si>
    <t>Fear, Large Target</t>
  </si>
  <si>
    <t>Ogre Bodyguard #1</t>
  </si>
  <si>
    <t>Ogre Bodyguard #2</t>
  </si>
  <si>
    <t>Ogre Bodyguard #3</t>
  </si>
  <si>
    <t>Ogre Bodyguard #4</t>
  </si>
  <si>
    <t>Ogre Bodyguard #5</t>
  </si>
  <si>
    <t>Ogre Bodyguard #6</t>
  </si>
  <si>
    <t>Ogre Bodyguard #7</t>
  </si>
  <si>
    <t>Academic, Lesser Magic</t>
  </si>
  <si>
    <t>Wizard, 2 Lesser Magic Spells</t>
  </si>
  <si>
    <t>!Undead, !Skaven</t>
  </si>
  <si>
    <t>!Skaven</t>
  </si>
  <si>
    <t>!Skaven, !Undead, !Possessed</t>
  </si>
  <si>
    <t>!Witchhunters, !Sisters</t>
  </si>
  <si>
    <t>Mercs, Witchhunters</t>
  </si>
  <si>
    <t>Mercs, Witch hunters</t>
  </si>
  <si>
    <t>Dwarf Troll Slayer #1</t>
  </si>
  <si>
    <t>Dwarf Troll Slayer #2</t>
  </si>
  <si>
    <t>Double-handed Axe</t>
  </si>
  <si>
    <t>Combat, Strength, Special</t>
  </si>
  <si>
    <t>Seeker, Excellent Sight, Extra Cost for Dwarves</t>
  </si>
  <si>
    <t>Deathwish, Hard to kill, Hard Head, Extra Cost for Elves</t>
  </si>
  <si>
    <t>Aenur, the sword of twilight</t>
  </si>
  <si>
    <t>No XP Gains</t>
  </si>
  <si>
    <t>Ienh-Khain</t>
  </si>
  <si>
    <t>Johann the knife</t>
  </si>
  <si>
    <t>Black Lotus</t>
  </si>
  <si>
    <t>Dodge, Scale Sheer Surfaces, Quick Shot, Eagle eyes, Knife fighter</t>
  </si>
  <si>
    <t>Band</t>
  </si>
  <si>
    <t>Strike to Injure, Expert Swordsman, Step Aside, Sprint, Lighting Reflexes, Dodge, Mightly Blow,</t>
  </si>
  <si>
    <t xml:space="preserve"> Invincible Swordsman, Wanderer, Ienh-Khain</t>
  </si>
  <si>
    <t>KnifeFighter Extraordinaire</t>
  </si>
  <si>
    <t>Special</t>
  </si>
  <si>
    <t>Sigmarite Wahammer</t>
  </si>
  <si>
    <t>Blesed Water</t>
  </si>
  <si>
    <t>High Matriarch, Sigmar's Handmaiden</t>
  </si>
  <si>
    <t>Mighty Blow, Unstoppable Charge, Righteous Fury, All Prayers of Sigmar</t>
  </si>
  <si>
    <t>Sigmarites</t>
  </si>
  <si>
    <t>Bertha Bestraufrung, High Matriarch of the Sisterhood</t>
  </si>
  <si>
    <t>Veskit, High Executioner of the Clan Eshin</t>
  </si>
  <si>
    <t>Fighitng Claws</t>
  </si>
  <si>
    <t>Unfeeling, No Pain, Unblinking Eye, Metallic Body</t>
  </si>
  <si>
    <t>Metallic Body</t>
  </si>
  <si>
    <t>Bands</t>
  </si>
  <si>
    <t>Shard Rolls</t>
  </si>
  <si>
    <t>#1</t>
  </si>
  <si>
    <t>#2</t>
  </si>
  <si>
    <t>#3</t>
  </si>
  <si>
    <t>#4</t>
  </si>
  <si>
    <t>#5</t>
  </si>
  <si>
    <t>#6</t>
  </si>
  <si>
    <t>#7</t>
  </si>
  <si>
    <t>#8</t>
  </si>
  <si>
    <t>Shards Roll</t>
  </si>
  <si>
    <t>Gold Found From Multiples</t>
  </si>
  <si>
    <t>Expenses</t>
  </si>
  <si>
    <t>Cost of New Hires</t>
  </si>
  <si>
    <t>Cost of Killed Warriors + Gear</t>
  </si>
  <si>
    <t>Gold from Shard Sale</t>
  </si>
  <si>
    <t>Cost of  Upkeeps</t>
  </si>
  <si>
    <t>Other Costs</t>
  </si>
  <si>
    <t>Total Income</t>
  </si>
  <si>
    <t>Other Income</t>
  </si>
  <si>
    <t>Campaign Points Earned</t>
  </si>
  <si>
    <t>Campaign Information</t>
  </si>
  <si>
    <t>Black Pit Settlement</t>
  </si>
  <si>
    <t>Brigandsburg</t>
  </si>
  <si>
    <t>Cemetary of St. Voller</t>
  </si>
  <si>
    <t>Common Neighborhood</t>
  </si>
  <si>
    <t>Crimson Lights</t>
  </si>
  <si>
    <t>Halibut</t>
  </si>
  <si>
    <t>Herring</t>
  </si>
  <si>
    <t>Imperial Armory</t>
  </si>
  <si>
    <t>Imperial Stables</t>
  </si>
  <si>
    <t>Inventors</t>
  </si>
  <si>
    <t>Market Square</t>
  </si>
  <si>
    <t>Metal Workers</t>
  </si>
  <si>
    <t>Mordheim Breweries</t>
  </si>
  <si>
    <t>Mordheim University</t>
  </si>
  <si>
    <t>Nightshade</t>
  </si>
  <si>
    <t>Palace Gardens</t>
  </si>
  <si>
    <t>Pleasure District</t>
  </si>
  <si>
    <t>Raven Barracks</t>
  </si>
  <si>
    <t>Rich Quarter</t>
  </si>
  <si>
    <t>Statue of Count Gotthard</t>
  </si>
  <si>
    <t>Temple of Morr</t>
  </si>
  <si>
    <t>Temple of Sigmar</t>
  </si>
  <si>
    <t>The Devil's Den</t>
  </si>
  <si>
    <t>The Gaol</t>
  </si>
  <si>
    <t>The Pit</t>
  </si>
  <si>
    <t>The Rock</t>
  </si>
  <si>
    <t>The Shades</t>
  </si>
  <si>
    <t>Wizard's Mansion</t>
  </si>
  <si>
    <t>Total Gold Earned</t>
  </si>
  <si>
    <t>Campaign Points</t>
  </si>
  <si>
    <t>Unsold Wyrdstone</t>
  </si>
  <si>
    <t>Combat, Shooting, Academic, Strength, Speed</t>
  </si>
  <si>
    <t>Combat, Shooting, Speed</t>
  </si>
  <si>
    <t>Combat, Academic, Strength, Speed, Special</t>
  </si>
  <si>
    <t>Academic, Speed, Special</t>
  </si>
  <si>
    <t>Skills, Injuries, Etc</t>
  </si>
  <si>
    <t>Combat, Shooting, Academic, Strength, Speed, Special</t>
  </si>
  <si>
    <t>Combat, Shooting, Strength, Speed, Special</t>
  </si>
  <si>
    <t>Combat, Shooting, Special</t>
  </si>
  <si>
    <t>Academic, Speed</t>
  </si>
  <si>
    <t>Shooting, Academic, Speed</t>
  </si>
  <si>
    <t>Academic, Strength</t>
  </si>
  <si>
    <t>Combat, Strength, Speed</t>
  </si>
  <si>
    <t>Shooting, Speed</t>
  </si>
  <si>
    <t>Combat, Strength, Speed, Special</t>
  </si>
  <si>
    <t>Combat, Speed, Special</t>
  </si>
  <si>
    <t>Combat, Speed</t>
  </si>
  <si>
    <t>Combat, Shooting, Strength, Special</t>
  </si>
  <si>
    <t>Combat, Shooting, Strength, Speed</t>
  </si>
  <si>
    <t>Strength, Special</t>
  </si>
  <si>
    <t>Printed</t>
  </si>
  <si>
    <t>Warband Rules</t>
  </si>
  <si>
    <t>Heros</t>
  </si>
  <si>
    <t>Henchmen</t>
  </si>
  <si>
    <t>+1 to find Rare Items, 600gc Starting</t>
  </si>
  <si>
    <t>Middenheim Captain</t>
  </si>
  <si>
    <t>Middenheim Champion</t>
  </si>
  <si>
    <t>Middenheim Youngblood</t>
  </si>
  <si>
    <t>Middenheim Warriors</t>
  </si>
  <si>
    <t>Middenheim Marksmen</t>
  </si>
  <si>
    <t>Middenheim Swordsmen</t>
  </si>
  <si>
    <t>MidLeader</t>
  </si>
  <si>
    <t>MidHench</t>
  </si>
  <si>
    <t>Reikland Captain</t>
  </si>
  <si>
    <t>Reikland Champion</t>
  </si>
  <si>
    <t>Reikland Youngblood</t>
  </si>
  <si>
    <t>Reikland Warriors</t>
  </si>
  <si>
    <t>Reikland Marksmen</t>
  </si>
  <si>
    <t>Reikland Swordsmen</t>
  </si>
  <si>
    <t>ReikLeader</t>
  </si>
  <si>
    <t>ReikHeroes</t>
  </si>
  <si>
    <t>MidHeroes</t>
  </si>
  <si>
    <t>ReikHench</t>
  </si>
  <si>
    <t xml:space="preserve">Captains Leadership extends 12". </t>
  </si>
  <si>
    <t>Marienburg Captain</t>
  </si>
  <si>
    <t>Marienburg Champion</t>
  </si>
  <si>
    <t>Marienburg Youngblood</t>
  </si>
  <si>
    <t>Marienburg Warriors</t>
  </si>
  <si>
    <t>Marienburg Marksmen</t>
  </si>
  <si>
    <t>Marienburg Swordsmen</t>
  </si>
  <si>
    <t>Combat, Shooting, Strength</t>
  </si>
  <si>
    <t>Combat, Academic, Speed</t>
  </si>
  <si>
    <t>No Hired Swords unless specificlly stated with the Hired Sword</t>
  </si>
  <si>
    <t>No Hired Swords</t>
  </si>
  <si>
    <t>Hard to Kill, Hard Head, Armor, Hate Orcs &amp; Goblins, Grudgebearers, Incomparable Miners</t>
  </si>
  <si>
    <t>Hired Swords as Mercenaries, Ancient Enemies (No Ally w Chaos)</t>
  </si>
  <si>
    <t>Animosity, Distasteful Company (Hired Swords: Pit Fighter, Ogre Bodyguard, Warlock only)</t>
  </si>
  <si>
    <t>Sacrifice, Not One of Us (No Hired Swords or DP except Amazons)</t>
  </si>
  <si>
    <t>Lady of the Lakes Curse</t>
  </si>
  <si>
    <t>Comabt, Strength, Speed, Special</t>
  </si>
  <si>
    <t>Self-Sufficeint (Hired Swords: Ogre Bodyguard only), Nouveau Riche</t>
  </si>
  <si>
    <t>Kindred Hatred, Excellent Sight, Black Powder Weapons</t>
  </si>
  <si>
    <t>Combat, Shooting, Academic, Speed, Special</t>
  </si>
  <si>
    <t>Fellblade</t>
  </si>
  <si>
    <t>Saurus Scales</t>
  </si>
  <si>
    <t>Skink Scales</t>
  </si>
  <si>
    <t>Saurus Scales &amp; Lizardman Light Armor</t>
  </si>
  <si>
    <t>Saurus Scales &amp; Lizardman Light Armor &amp; Shield</t>
  </si>
  <si>
    <t>Saurus Scales &amp; Shield</t>
  </si>
  <si>
    <t>Skink Scales &amp; Shield</t>
  </si>
  <si>
    <t>Scaly Skin, Armor, Bite Attack, Cold Blooded, Aquatic, Jungle Born, Saurus Rarity</t>
  </si>
  <si>
    <t>Kroxigor Scaly Skin</t>
  </si>
  <si>
    <t>Sacred Marking: Oversized Jaws</t>
  </si>
  <si>
    <t>Sacred Marking: Poison Glands</t>
  </si>
  <si>
    <t>Sacred Marking: Mark of the Old Ones</t>
  </si>
  <si>
    <t>SaurusHenchItems</t>
  </si>
  <si>
    <t>Swabbies, Hired Swords as Mercs, Succession</t>
  </si>
  <si>
    <t>Combat, Shooting, Speed, Special</t>
  </si>
  <si>
    <t>Ship's Mate</t>
  </si>
  <si>
    <t>Weapons &amp; Armor</t>
  </si>
  <si>
    <t>Hate Dark Elves, Excellent Sight, Distaste for Poison, Unforgiving, Tolerant</t>
  </si>
  <si>
    <t>Combat Shooting, Speed, Special</t>
  </si>
  <si>
    <t>Combat, Academic, Speed, Special</t>
  </si>
  <si>
    <t>Combat, Academic</t>
  </si>
  <si>
    <t>Cause Fear, Immune to Psychology, No Pain, May not Run, Immune to Poison, No Brain, Flammable, Do Not Drink, home Ground</t>
  </si>
  <si>
    <t>Must carry bow, No Bouty Hunter/Wolf-Priest/Ulric/Norse Shaman/Dark Elf Assassin</t>
  </si>
  <si>
    <t>Academic, Special</t>
  </si>
  <si>
    <t>Acadeic, Speed, Special</t>
  </si>
  <si>
    <t>Added skill groups for all warbands</t>
  </si>
  <si>
    <t>Added lizardmen skins as armor</t>
  </si>
  <si>
    <t>Mounted, Squires, Exploration</t>
  </si>
  <si>
    <t>Combat, Strength, Riding</t>
  </si>
  <si>
    <t>Academic, Combat, Strength, Riding</t>
  </si>
  <si>
    <t>You can only have 1 DP. The reason there are 2 boxes is because Uli and Marquand are hired as a pair</t>
  </si>
  <si>
    <t>Marquand</t>
  </si>
  <si>
    <t>Step Aside, Knife Fighter, Lighting Reflexes</t>
  </si>
  <si>
    <t>Uli</t>
  </si>
  <si>
    <t>Double-handed Warhammer</t>
  </si>
  <si>
    <t>Strongman, Unstoppable Charge, Combat master</t>
  </si>
  <si>
    <t>N/A</t>
  </si>
  <si>
    <t>Wanderers, A Fistful of Crowns, Where’s the Money, Inseperable</t>
  </si>
  <si>
    <t>!Sisters, !Witch hunters</t>
  </si>
  <si>
    <t>Duelist</t>
  </si>
  <si>
    <t>!Skaven, !Undead</t>
  </si>
  <si>
    <t>Duelling Pistol</t>
  </si>
  <si>
    <t>Darting Steel</t>
  </si>
  <si>
    <t>Combat, Shooting</t>
  </si>
  <si>
    <t>Bard</t>
  </si>
  <si>
    <t>Songster</t>
  </si>
  <si>
    <t>Mercs, Sisters, Witch hunters</t>
  </si>
  <si>
    <t>Bounty Hunter</t>
  </si>
  <si>
    <t>Rope &amp; Hook, Lantern</t>
  </si>
  <si>
    <t>Capture</t>
  </si>
  <si>
    <t>!Possesed, !Skaven, !Undead, !Orcs</t>
  </si>
  <si>
    <t>Witch</t>
  </si>
  <si>
    <t>Wizard, 2 Charms ~ Hexes, Recluse, Potions, Reluctant</t>
  </si>
  <si>
    <t>1Witch hunters, !Sisters</t>
  </si>
  <si>
    <t>Added DP and Hired Swords from TCs</t>
  </si>
  <si>
    <t>Added Warband rules</t>
  </si>
  <si>
    <t>Corrected Gromril and Ithilmar daggers (First isnt free)</t>
  </si>
  <si>
    <t>Gave orcs clubs and maces per faq</t>
  </si>
  <si>
    <t>Corrected Henchmen XP calc for warband rating according to FAQ</t>
  </si>
  <si>
    <t>Corrected XP for Large Creatures according to FAQ (don’t count as members x5 in addition to the 20)</t>
  </si>
  <si>
    <t>Imperial Assassin</t>
  </si>
  <si>
    <t>tilean Marksmen</t>
  </si>
  <si>
    <t>Beast hunter</t>
  </si>
  <si>
    <t>highwayman</t>
  </si>
  <si>
    <t>Roadwarden</t>
  </si>
  <si>
    <t>The Merchant</t>
  </si>
  <si>
    <t>EiF</t>
  </si>
  <si>
    <t>TC22</t>
  </si>
  <si>
    <t>Nicodemus</t>
  </si>
  <si>
    <t>Mariana Chevaux</t>
  </si>
  <si>
    <t>Active Members</t>
  </si>
  <si>
    <t>Active</t>
  </si>
  <si>
    <t>Out of Play</t>
  </si>
  <si>
    <t>Corrected Warband Rating and Routing count for members in bad vs members Active/Out of Play according to faq</t>
  </si>
  <si>
    <t>Max Stats</t>
  </si>
  <si>
    <t>Corrected 0 dispalying in some text fields</t>
  </si>
  <si>
    <t>Warrior Cost</t>
  </si>
  <si>
    <t>Corrections to cost, Radded total cost calulator</t>
  </si>
  <si>
    <t>Fix total member count</t>
  </si>
  <si>
    <t>Youth</t>
  </si>
  <si>
    <t>Blood-Brother/Uncle</t>
  </si>
  <si>
    <t>Acolyte</t>
  </si>
  <si>
    <t>Ogre Warband</t>
  </si>
  <si>
    <t>OgreLeader</t>
  </si>
  <si>
    <t>OgreHeroes</t>
  </si>
  <si>
    <t>OgreHench</t>
  </si>
  <si>
    <t>Huuuuge, All to Easy, Rout Tests, Gluttony, Don’t Fight with Eating Knives, Distaseful company, Gnoblars, Not Really a Threat</t>
  </si>
  <si>
    <t>mordheimer.com</t>
  </si>
  <si>
    <t>Man-eater-kin</t>
  </si>
  <si>
    <t>Butcher-kin</t>
  </si>
  <si>
    <t>Ogre Runt</t>
  </si>
  <si>
    <t>Gnoblar Trappers</t>
  </si>
  <si>
    <t>Ogre Bulls</t>
  </si>
  <si>
    <t>Leadbelchers</t>
  </si>
  <si>
    <t>Fighting Gnoblars</t>
  </si>
  <si>
    <t>Leader, Large Target</t>
  </si>
  <si>
    <t>OgreBullItems</t>
  </si>
  <si>
    <t>Gastromancy, Food Preservation, Starting Ingredients, Large Target</t>
  </si>
  <si>
    <t>OgreButchersItems</t>
  </si>
  <si>
    <t>GnoblarItems</t>
  </si>
  <si>
    <t>No Ambitions, Large Target</t>
  </si>
  <si>
    <t>LeadbelchersItems</t>
  </si>
  <si>
    <t>Not Huuuge</t>
  </si>
  <si>
    <t>Lil' Explorer</t>
  </si>
  <si>
    <t>ManeaterItems</t>
  </si>
  <si>
    <t>Ogre Club</t>
  </si>
  <si>
    <t>Iron Fist</t>
  </si>
  <si>
    <t>Cathayan Longsword</t>
  </si>
  <si>
    <t>Handgun, Brace</t>
  </si>
  <si>
    <t>Belly Plate</t>
  </si>
  <si>
    <t>Wyrdstone Gnoblar</t>
  </si>
  <si>
    <t>Lookout Gnoblar</t>
  </si>
  <si>
    <t>Luck Gnoblar</t>
  </si>
  <si>
    <t>OgreButcherItems</t>
  </si>
  <si>
    <t>Sacrificial Gnoblar</t>
  </si>
  <si>
    <t>Bull's Heart</t>
  </si>
  <si>
    <t>Troll Guts</t>
  </si>
  <si>
    <t>LeadbelcherItems</t>
  </si>
  <si>
    <t>Ogre Cannon</t>
  </si>
  <si>
    <t>Light Armor &amp; Belly Plate</t>
  </si>
  <si>
    <t>Sacrifical Gnoblar</t>
  </si>
  <si>
    <t>Sword with Dark Elf Blade</t>
  </si>
  <si>
    <t>Dagger with Dark Elf Blade</t>
  </si>
  <si>
    <t>Correct price on Sword with Dark Elf Blade</t>
  </si>
  <si>
    <t xml:space="preserve"> add Dagger with Dark Elf Blade</t>
  </si>
  <si>
    <t>Add beastlash to master items list</t>
  </si>
  <si>
    <t>Make items round down when sold</t>
  </si>
  <si>
    <t>Creation</t>
  </si>
  <si>
    <t>Options</t>
  </si>
  <si>
    <t>Game Play</t>
  </si>
  <si>
    <t>Restrict Item Selection</t>
  </si>
  <si>
    <t>Create option for Character Creation vs Game play selection of items</t>
  </si>
  <si>
    <t>Correct display of 0 on hired swords and DPs when item field empty</t>
  </si>
  <si>
    <t>Change colors so when printed pencil writing can bee seen</t>
  </si>
  <si>
    <t>North Gate</t>
  </si>
  <si>
    <t>West Gate</t>
  </si>
  <si>
    <t>South Gate</t>
  </si>
  <si>
    <t>East Gate</t>
  </si>
  <si>
    <t>Clock Tower</t>
  </si>
  <si>
    <t>Add Gate locations and Clock tower</t>
  </si>
  <si>
    <t>Turn #</t>
  </si>
  <si>
    <t>Location</t>
  </si>
  <si>
    <t>Move to</t>
  </si>
  <si>
    <t>Remain in</t>
  </si>
  <si>
    <t>Battle Phase</t>
  </si>
  <si>
    <t>Move Phase</t>
  </si>
  <si>
    <t>Other Shards Acquired</t>
  </si>
  <si>
    <t>Total Shards Found</t>
  </si>
  <si>
    <t>Total Gold Adjustment</t>
  </si>
  <si>
    <t>Equipment Found</t>
  </si>
  <si>
    <t>Win</t>
  </si>
  <si>
    <t>Warband</t>
  </si>
  <si>
    <t>Unsold Shards</t>
  </si>
  <si>
    <t>Gold Crowns</t>
  </si>
  <si>
    <t>Wins</t>
  </si>
  <si>
    <t>Losses</t>
  </si>
  <si>
    <t>Loss</t>
  </si>
  <si>
    <t>Played Vs</t>
  </si>
  <si>
    <t>Result</t>
  </si>
  <si>
    <t>Battles</t>
  </si>
  <si>
    <t>Replacement Cost</t>
  </si>
  <si>
    <t>Added replacement cost to henchmen page</t>
  </si>
  <si>
    <t>Major modifications to Campaign record</t>
  </si>
  <si>
    <t>Corrected price of Asp Arrows</t>
  </si>
  <si>
    <t>Correct differnce between starting gromril/ithmaril items and later purchased</t>
  </si>
  <si>
    <t>Gromril Additional Dagger, Starting</t>
  </si>
  <si>
    <t>Gromril Armor, Starting</t>
  </si>
  <si>
    <t>Gromril Armor, Starting &amp; Shield</t>
  </si>
  <si>
    <t>Gromril Axe, Starting</t>
  </si>
  <si>
    <t>Gromril Double-handed Weapon, Starting</t>
  </si>
  <si>
    <t>Gromril Dwarf Axe, Starting</t>
  </si>
  <si>
    <t>Gromril Halberd, Starting</t>
  </si>
  <si>
    <t>Gromril Hammer, Starting</t>
  </si>
  <si>
    <t>Gromril Mace, Starting</t>
  </si>
  <si>
    <t>Gromril Spear, Starting</t>
  </si>
  <si>
    <t>Gromril Sword, Starting</t>
  </si>
  <si>
    <t>Ithilmar Double-handed Weapon</t>
  </si>
  <si>
    <t>Ithilmar Additional Dagger, Starting</t>
  </si>
  <si>
    <t>Ithilmar Sword, Starting</t>
  </si>
  <si>
    <t>Ithimar Double-handed Weapon, Starting</t>
  </si>
  <si>
    <t>Ithilmar Spear, Starting</t>
  </si>
  <si>
    <t>Ithilmar Armor, Starting</t>
  </si>
  <si>
    <t>Ithilmar Armor, Starting &amp; Shield</t>
  </si>
  <si>
    <t>Ithilmar Double-handed Weapon, Starting</t>
  </si>
  <si>
    <t>Bear-Claw Necklace</t>
  </si>
  <si>
    <t>Bugman's Ale</t>
  </si>
  <si>
    <t>Caltrops</t>
  </si>
  <si>
    <t>Crimson Shade</t>
  </si>
  <si>
    <t>Dark Venom, Starting</t>
  </si>
  <si>
    <t>Elven Cloak, Starting</t>
  </si>
  <si>
    <t>Familiar</t>
  </si>
  <si>
    <t>Fire Arrows</t>
  </si>
  <si>
    <t>Fire Bomb</t>
  </si>
  <si>
    <t>Flash Powder</t>
  </si>
  <si>
    <t>Halfling Cookbook</t>
  </si>
  <si>
    <t>Healing Herbs, Starting</t>
  </si>
  <si>
    <t>Unholy Relic</t>
  </si>
  <si>
    <t>Holy Tome, Starting</t>
  </si>
  <si>
    <t>Mounts and vehicles</t>
  </si>
  <si>
    <t>Hunting Arrows, Starting</t>
  </si>
  <si>
    <t>Hunting Arrows, Starting Outlaws</t>
  </si>
  <si>
    <t>Mad Cap Mushrooms, Starting</t>
  </si>
  <si>
    <t>Mandrake Root</t>
  </si>
  <si>
    <t>Mordheim Map, Fake</t>
  </si>
  <si>
    <t>Mordheim Map, Vague</t>
  </si>
  <si>
    <t>Mordheim Map, Catacomb Map</t>
  </si>
  <si>
    <t>Mordheim Map, Accurate</t>
  </si>
  <si>
    <t>Mordheim Map, Master Map</t>
  </si>
  <si>
    <t>Nekekharan Map</t>
  </si>
  <si>
    <t>Scorpion Ring</t>
  </si>
  <si>
    <t>Snake Charmers Flute</t>
  </si>
  <si>
    <t>Tears of Shallaya</t>
  </si>
  <si>
    <t>Telescope</t>
  </si>
  <si>
    <t>Tome of Magic</t>
  </si>
  <si>
    <t>Venom Ring</t>
  </si>
  <si>
    <t>Vodka</t>
  </si>
  <si>
    <t>War Horn</t>
  </si>
  <si>
    <t>Wardog</t>
  </si>
  <si>
    <t>Wyrdstone Pendulum</t>
  </si>
  <si>
    <t>Book of the Dead</t>
  </si>
  <si>
    <t>Cathyan Silk Cloak</t>
  </si>
  <si>
    <t>B/F/U/S</t>
  </si>
  <si>
    <t>#</t>
  </si>
  <si>
    <t>Prophet</t>
  </si>
  <si>
    <t>Bleak One</t>
  </si>
  <si>
    <t>City Folk</t>
  </si>
  <si>
    <t>Maimed Ones</t>
  </si>
  <si>
    <t>MordheimersItems</t>
  </si>
  <si>
    <t>LunaticItems</t>
  </si>
  <si>
    <t>Mordheimer Fanatics</t>
  </si>
  <si>
    <t>MordheimerLeader</t>
  </si>
  <si>
    <t>MordheimerHeroes</t>
  </si>
  <si>
    <t>MordheimerHench</t>
  </si>
  <si>
    <t>Leader, Fanatical, Orator</t>
  </si>
  <si>
    <t>MordheimerItems</t>
  </si>
  <si>
    <t>Fanactical, Deathwish, Lost Everything</t>
  </si>
  <si>
    <t>Lunatic</t>
  </si>
  <si>
    <t>Orphan</t>
  </si>
  <si>
    <t>Maimed</t>
  </si>
  <si>
    <t>Combat, Shooting, Acdemic, Strength, Speed</t>
  </si>
  <si>
    <t>Strength</t>
  </si>
  <si>
    <t>archive pestilens</t>
  </si>
  <si>
    <t>Former Guardsmen</t>
  </si>
  <si>
    <t>GuardsLeader</t>
  </si>
  <si>
    <t>GuardsHench</t>
  </si>
  <si>
    <t>Beat Walkers (reroll explore as if Master map for each hero), Irreplaceable, Chain of Command</t>
  </si>
  <si>
    <t>Crusty Sergent</t>
  </si>
  <si>
    <t>Master at Arms</t>
  </si>
  <si>
    <t>Combat, Speed, Shooting, Academic</t>
  </si>
  <si>
    <t>Combat, Speed, Shooting</t>
  </si>
  <si>
    <t>Drill Sergent</t>
  </si>
  <si>
    <t>Weapons Maintenance, Expert Armorer</t>
  </si>
  <si>
    <t>Veteran Guardsmen</t>
  </si>
  <si>
    <t>Crusty Veteran</t>
  </si>
  <si>
    <t>Gaurdsmen</t>
  </si>
  <si>
    <t>Raw Recruit</t>
  </si>
  <si>
    <t>Plauge Priest</t>
  </si>
  <si>
    <t>Plauge Champion</t>
  </si>
  <si>
    <t>Monk Initiate</t>
  </si>
  <si>
    <t>PestilensItems</t>
  </si>
  <si>
    <t>AdditionalDagger</t>
  </si>
  <si>
    <t>Plague Censor</t>
  </si>
  <si>
    <t>ClanRatItems</t>
  </si>
  <si>
    <t>PlagueMonkItems</t>
  </si>
  <si>
    <t>Clan Pestilens</t>
  </si>
  <si>
    <t>PestilensLeader</t>
  </si>
  <si>
    <t>PestilensHeroes</t>
  </si>
  <si>
    <t>PestilensHench</t>
  </si>
  <si>
    <t>Plague Monks</t>
  </si>
  <si>
    <t>Clanrats</t>
  </si>
  <si>
    <t>Skaven Slaves</t>
  </si>
  <si>
    <t>Doomed</t>
  </si>
  <si>
    <t>Added Clan Pestilens, Former guardsmen,  Mordheimer Fanatics</t>
  </si>
  <si>
    <t>Guard Captain</t>
  </si>
  <si>
    <t>Guard Lieutenant</t>
  </si>
  <si>
    <t>GuardsHeroes</t>
  </si>
  <si>
    <t>Ulfwerenar</t>
  </si>
  <si>
    <t>NorseHuntersItems</t>
  </si>
  <si>
    <t>Seafaring</t>
  </si>
  <si>
    <t>Norse Explorers</t>
  </si>
  <si>
    <t>Ladder</t>
  </si>
  <si>
    <t>Marauders of Chaos</t>
  </si>
  <si>
    <t>MarauderLeader</t>
  </si>
  <si>
    <t>MarauderHeroes</t>
  </si>
  <si>
    <t>MarauderHench</t>
  </si>
  <si>
    <t>Eyes of the Gods, Spawn of Chaos, Mark of Chaos</t>
  </si>
  <si>
    <t>Seer</t>
  </si>
  <si>
    <t>Condemned</t>
  </si>
  <si>
    <t>Spawn of Chaos</t>
  </si>
  <si>
    <t>Comabt, Academic, Special</t>
  </si>
  <si>
    <t>Strength, Speed, Special</t>
  </si>
  <si>
    <t>Comabt, Strength, Special</t>
  </si>
  <si>
    <t>MarauderHeroItems</t>
  </si>
  <si>
    <t>Wizard, Mark of Chaos</t>
  </si>
  <si>
    <t>d6</t>
  </si>
  <si>
    <t>d3</t>
  </si>
  <si>
    <t>Inconsistancy, Fear, Experience, Fate</t>
  </si>
  <si>
    <t>MarauderHenchItems</t>
  </si>
  <si>
    <t>d6+1</t>
  </si>
  <si>
    <t>Special Attacks, Fear, Special Movement, Psychology, No Brain, Large</t>
  </si>
  <si>
    <t>Chieftain</t>
  </si>
  <si>
    <t>Great Axe</t>
  </si>
  <si>
    <t>Marauder Steel Whip</t>
  </si>
  <si>
    <t>Norse Marauders</t>
  </si>
  <si>
    <t>Eyes of the Gods, Spawn of Chaos, Mark of Chaos, Reavers, Pantheon</t>
  </si>
  <si>
    <t>Kurgan Marauders</t>
  </si>
  <si>
    <t>Eyes of the Gods, Spawn of Chaos, Mark of Chaos, Pedigree, Bone Bows, Difficult Customers</t>
  </si>
  <si>
    <t>Hung Marauders</t>
  </si>
  <si>
    <t>Eyes of the Gods, Spawn of Chaos, Mark of Chaos, Disloyalty, Affinity with Horses</t>
  </si>
  <si>
    <t>KurganMarauderHeroItems</t>
  </si>
  <si>
    <t>KurganMarauderHenchItems</t>
  </si>
  <si>
    <t>Kurgan Chieftain</t>
  </si>
  <si>
    <t>Kurgan Seer</t>
  </si>
  <si>
    <t>Kurgan Condemned</t>
  </si>
  <si>
    <t>Kurgan Champion</t>
  </si>
  <si>
    <t>Champion of Chaos</t>
  </si>
  <si>
    <t>KurganLeader</t>
  </si>
  <si>
    <t>KurganHeroes</t>
  </si>
  <si>
    <t>KurganHench</t>
  </si>
  <si>
    <t>Kurgan Warhounds</t>
  </si>
  <si>
    <t>Kurgan Spawn</t>
  </si>
  <si>
    <t>Hung Chieftain</t>
  </si>
  <si>
    <t>HungMarauderHeroItems</t>
  </si>
  <si>
    <t>Hung Seer</t>
  </si>
  <si>
    <t>Hung Champion</t>
  </si>
  <si>
    <t>Hung Condemned</t>
  </si>
  <si>
    <t>HungMarauderHenchItems</t>
  </si>
  <si>
    <t>Hung Warhounds</t>
  </si>
  <si>
    <t>Hung Spawn</t>
  </si>
  <si>
    <t>HungLeader</t>
  </si>
  <si>
    <t>HungHeroes</t>
  </si>
  <si>
    <t>HungHench</t>
  </si>
  <si>
    <t>Hung Warhorse</t>
  </si>
  <si>
    <t>Merchant Caravan</t>
  </si>
  <si>
    <t>MerchantHeroes</t>
  </si>
  <si>
    <t>MerchantHench</t>
  </si>
  <si>
    <t>Merchant, Trade, Open for Buisness, Rarity, Hired Swords, 600gc start</t>
  </si>
  <si>
    <t>Merchant</t>
  </si>
  <si>
    <t>Apprentice</t>
  </si>
  <si>
    <t>Knight Vanguard</t>
  </si>
  <si>
    <t>Magician</t>
  </si>
  <si>
    <t>Sell-Swords</t>
  </si>
  <si>
    <t>Merchant Marksmen</t>
  </si>
  <si>
    <t>Shooting, Academic,Special</t>
  </si>
  <si>
    <t>Combat, Shooting, Academic, Speed</t>
  </si>
  <si>
    <t>MerchantHeroItems</t>
  </si>
  <si>
    <t>LightingReflexes, Ride Warhorse, Hirelings</t>
  </si>
  <si>
    <t>KnightVItems</t>
  </si>
  <si>
    <t>Wizard, Hirelings</t>
  </si>
  <si>
    <t>MerchantHenchItems</t>
  </si>
  <si>
    <t>Stongman, Unreliable Hirelings</t>
  </si>
  <si>
    <t>CathayanItems</t>
  </si>
  <si>
    <t>Blackguard</t>
  </si>
  <si>
    <t>Duelling Pistol, Brace</t>
  </si>
  <si>
    <t>Cathayan Silk Cloak</t>
  </si>
  <si>
    <t>Trade Wagon</t>
  </si>
  <si>
    <t>Starting Warhorse</t>
  </si>
  <si>
    <t>Katana</t>
  </si>
  <si>
    <t>SellSwordItems</t>
  </si>
  <si>
    <t>Pike</t>
  </si>
  <si>
    <t>MerchantLeader</t>
  </si>
  <si>
    <t>Battle Monks of Cathay</t>
  </si>
  <si>
    <t>Strictures, Distaste for Poison, Outsiders</t>
  </si>
  <si>
    <t>Emmissary</t>
  </si>
  <si>
    <t>Officer</t>
  </si>
  <si>
    <t>Dragon Monk</t>
  </si>
  <si>
    <t>Soliders</t>
  </si>
  <si>
    <t>Warrior Monks</t>
  </si>
  <si>
    <t>Shooting, Academic, Speed, Special</t>
  </si>
  <si>
    <t>Leader, Ride Horse, Decree</t>
  </si>
  <si>
    <t>SoliderItems</t>
  </si>
  <si>
    <t>Art of the Silent Death</t>
  </si>
  <si>
    <t>MonkItems</t>
  </si>
  <si>
    <t>Raging Peasants</t>
  </si>
  <si>
    <t>Simpe Folk, Mob, Ignored, Downtrodden</t>
  </si>
  <si>
    <t>EmissaryItems</t>
  </si>
  <si>
    <t>MonkLeader</t>
  </si>
  <si>
    <t>MonkHeroes</t>
  </si>
  <si>
    <t>MonkHench</t>
  </si>
  <si>
    <t>Emissary Starting Horse</t>
  </si>
  <si>
    <t>Emissary Cathayan Longsword</t>
  </si>
  <si>
    <t>emissary Cathayan Silk Cloak</t>
  </si>
  <si>
    <t>Emissary Cathayan Silk Cloak</t>
  </si>
  <si>
    <t>Quarter Staff</t>
  </si>
  <si>
    <t>Chain Sticks</t>
  </si>
  <si>
    <t>Fish-hook Shot</t>
  </si>
  <si>
    <t>Pack of Ghouls</t>
  </si>
  <si>
    <t>GhoulLeader</t>
  </si>
  <si>
    <t>GhoulHeroes</t>
  </si>
  <si>
    <t>GhoulHench</t>
  </si>
  <si>
    <t>Subtract wyrdstone from 8, on D6 new ghouls shows up. May roll till impossible +1 each time. Living persons in explore = cheiftan +1XP</t>
  </si>
  <si>
    <t>Ghoul Chieftan</t>
  </si>
  <si>
    <t>Leader, Fear</t>
  </si>
  <si>
    <t>Speed, Strength, Combat</t>
  </si>
  <si>
    <t>Fear</t>
  </si>
  <si>
    <t>Speed, Strength</t>
  </si>
  <si>
    <t>Pack Ghouls</t>
  </si>
  <si>
    <t>Ghoul Brute</t>
  </si>
  <si>
    <t>Priest of Morr</t>
  </si>
  <si>
    <t>PriestofMorrItems</t>
  </si>
  <si>
    <t>Loner, Funery Rites (TC12)</t>
  </si>
  <si>
    <t>Scythe</t>
  </si>
  <si>
    <t>Added Priest of Morr</t>
  </si>
  <si>
    <t>Added Wolf Priest of Ulric</t>
  </si>
  <si>
    <t>Wolf Priest of Ulric</t>
  </si>
  <si>
    <t>Combat, Academic, Strength, Speed</t>
  </si>
  <si>
    <t>WolfPriestItems</t>
  </si>
  <si>
    <t>Hated, Wolf Companion, Prayers of Ulric (TC8)</t>
  </si>
  <si>
    <t>Wolf Companion</t>
  </si>
  <si>
    <t>Animal, Thick fur +6AS</t>
  </si>
  <si>
    <t>Thick Fur</t>
  </si>
  <si>
    <t>Starting Wolfcloak</t>
  </si>
  <si>
    <t>Sigmarite Sisters</t>
  </si>
  <si>
    <t>WolfItems</t>
  </si>
  <si>
    <t>Thick fur</t>
  </si>
  <si>
    <t>Armor always goes in the blue box. So does Pit FighterStyle</t>
  </si>
  <si>
    <t>Added Heroes count</t>
  </si>
  <si>
    <t>Heroes</t>
  </si>
  <si>
    <t>Burned Area</t>
  </si>
  <si>
    <t>City Hall</t>
  </si>
  <si>
    <t>Cutthroats Tavern</t>
  </si>
  <si>
    <t>Endon's Ampitheater</t>
  </si>
  <si>
    <t>Great Library</t>
  </si>
  <si>
    <t>Merchant's Quarters</t>
  </si>
  <si>
    <t>Middle Bridge</t>
  </si>
  <si>
    <t>NE Breach</t>
  </si>
  <si>
    <t>North Bridge</t>
  </si>
  <si>
    <t>NW Breach</t>
  </si>
  <si>
    <t>Palace</t>
  </si>
  <si>
    <t>Public Gardens</t>
  </si>
  <si>
    <t>Quayside East</t>
  </si>
  <si>
    <t>Quayside West</t>
  </si>
  <si>
    <t>Rat Hunters</t>
  </si>
  <si>
    <t>SE Breach</t>
  </si>
  <si>
    <t>Sigmarhaven</t>
  </si>
  <si>
    <t>South Bridge</t>
  </si>
  <si>
    <t>SW Breach</t>
  </si>
  <si>
    <t>The Cutlass</t>
  </si>
  <si>
    <t>WSW Breach</t>
  </si>
  <si>
    <t>Executioners Square</t>
  </si>
  <si>
    <t>Corrected locations to match campaign</t>
  </si>
  <si>
    <t>Current Heroes</t>
  </si>
  <si>
    <t>Forced to Fight</t>
  </si>
  <si>
    <t>Able to Loot</t>
  </si>
  <si>
    <t>Final Location</t>
  </si>
  <si>
    <t># of Heroes Looting</t>
  </si>
  <si>
    <t># of Heroes Recruiting/Rares</t>
  </si>
  <si>
    <t># of Survivers  (-Hired Sword and D. Personae)</t>
  </si>
  <si>
    <t>Total Expenses</t>
  </si>
  <si>
    <t>Current Warband Rating</t>
  </si>
  <si>
    <t>XP Bonus</t>
  </si>
  <si>
    <t>My Rating</t>
  </si>
  <si>
    <t>Thier Rating</t>
  </si>
  <si>
    <t>Yes</t>
  </si>
  <si>
    <t>No</t>
  </si>
  <si>
    <t>Defense Vs</t>
  </si>
  <si>
    <t>Points Spent</t>
  </si>
  <si>
    <t>Added Campaign points, and cmapaing spent</t>
  </si>
  <si>
    <t>Rebuilt campaign record sheet</t>
  </si>
  <si>
    <t>made printable sheet match campaign sheet, whitened</t>
  </si>
  <si>
    <t>Jewelled Sword</t>
  </si>
  <si>
    <t>Jewelled Dagger</t>
  </si>
  <si>
    <t>added jeweled sword and dagger</t>
  </si>
  <si>
    <t>Pack of Wolves</t>
  </si>
  <si>
    <t>WolfLeader</t>
  </si>
  <si>
    <t>WolfHeroes</t>
  </si>
  <si>
    <t>WolfHench</t>
  </si>
  <si>
    <t>Ghost Pirates</t>
  </si>
  <si>
    <t>GPLeader</t>
  </si>
  <si>
    <t>GPHeroes</t>
  </si>
  <si>
    <t>GPHench</t>
  </si>
  <si>
    <t>Doom Wolf</t>
  </si>
  <si>
    <t>Leader, Ravenous, +1A on Charge, May not Run, Cause Fear,  Unliving, No Pain, Immune to Psychology, Immune to Poison</t>
  </si>
  <si>
    <t>May not Run, +1A on Charge, Cause Fear,  Unliving, No Pain, Immune to Psychology, Immune to Poison</t>
  </si>
  <si>
    <t>Escaped Warhounds</t>
  </si>
  <si>
    <t>Starving Wolves</t>
  </si>
  <si>
    <t>Companion Wolf</t>
  </si>
  <si>
    <t>Dire Wolf</t>
  </si>
  <si>
    <t>Ghost Pirate Captain</t>
  </si>
  <si>
    <t>Combat, Strength, Academic, Special</t>
  </si>
  <si>
    <t>Zombie Deckhands</t>
  </si>
  <si>
    <t>No Brain</t>
  </si>
  <si>
    <t>Cause Fear, Immune to Poison, No Pain, Immune to Psychology &amp; May not run</t>
  </si>
  <si>
    <t>No XP</t>
  </si>
  <si>
    <t>Shawn</t>
  </si>
  <si>
    <t>GhostPirateItems</t>
  </si>
  <si>
    <t>Ghost Pirate Mate</t>
  </si>
  <si>
    <t>any</t>
  </si>
  <si>
    <t>Added Pack of Wolves, Ghost Pirates, Vampire Slayers</t>
  </si>
  <si>
    <t>Vampire Slayers</t>
  </si>
  <si>
    <t>VSLeader</t>
  </si>
  <si>
    <t>VSHeroes</t>
  </si>
  <si>
    <t>VSHench</t>
  </si>
  <si>
    <t>Master Slayer</t>
  </si>
  <si>
    <t>Veteran Slayer</t>
  </si>
  <si>
    <t>Vampyre</t>
  </si>
  <si>
    <t>Hardened Slayers</t>
  </si>
  <si>
    <t>Slayers</t>
  </si>
  <si>
    <t>Slaying Priest of Morr</t>
  </si>
  <si>
    <t>Leader, Slay Fiend, Immune to Fear</t>
  </si>
  <si>
    <t>Slay Fiend, Immune to Fear</t>
  </si>
  <si>
    <t>Prayers of Morr, Scythe</t>
  </si>
  <si>
    <t>SlayerItems</t>
  </si>
  <si>
    <t>Slay the Fiend, Immune to Poison, No Pain, Blood Lust</t>
  </si>
  <si>
    <t>Immune to Fear</t>
  </si>
  <si>
    <t>Hunting Dogs</t>
  </si>
  <si>
    <t>Keen Senses, Animals</t>
  </si>
  <si>
    <t>Wooden Stake</t>
  </si>
  <si>
    <t>Leather Whip</t>
  </si>
  <si>
    <t>Flaming Brazier</t>
  </si>
  <si>
    <t>Combat, Strength, Speed, Shooting, Special</t>
  </si>
  <si>
    <t>Strength, Prayers of Morr</t>
  </si>
  <si>
    <t>Shooting, combat, Strength, Special</t>
  </si>
  <si>
    <t>Speed, Strength, Combat, Special</t>
  </si>
  <si>
    <t>Tomb Guards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</si>
</sst>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10"/>
      <name val="Trebuchet MS"/>
      <family val="2"/>
    </font>
    <font>
      <b/>
      <sz val="18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sz val="10"/>
      <name val="Arial"/>
      <family val="2"/>
    </font>
    <font>
      <b/>
      <sz val="10"/>
      <color indexed="12"/>
      <name val="Trebuchet MS"/>
      <family val="2"/>
    </font>
    <font>
      <b/>
      <sz val="8"/>
      <color indexed="12"/>
      <name val="Trebuchet MS"/>
      <family val="2"/>
    </font>
    <font>
      <sz val="10"/>
      <color indexed="12"/>
      <name val="Trebuchet MS"/>
      <family val="2"/>
    </font>
    <font>
      <sz val="10"/>
      <color indexed="12"/>
      <name val="Arial"/>
      <family val="2"/>
    </font>
    <font>
      <sz val="8"/>
      <color indexed="12"/>
      <name val="Trebuchet MS"/>
      <family val="2"/>
    </font>
    <font>
      <sz val="8"/>
      <color indexed="12"/>
      <name val="Arial"/>
      <family val="2"/>
    </font>
    <font>
      <sz val="10"/>
      <color indexed="48"/>
      <name val="Arial"/>
      <family val="0"/>
    </font>
    <font>
      <b/>
      <sz val="14"/>
      <color indexed="48"/>
      <name val="Arial"/>
      <family val="2"/>
    </font>
    <font>
      <sz val="10"/>
      <color indexed="48"/>
      <name val="Trebuchet MS"/>
      <family val="2"/>
    </font>
    <font>
      <sz val="8"/>
      <name val="Arial"/>
      <family val="0"/>
    </font>
    <font>
      <sz val="6"/>
      <name val="Arial"/>
      <family val="0"/>
    </font>
    <font>
      <sz val="6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name val="HansFraktur"/>
      <family val="0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indexed="48"/>
      <name val="Arial"/>
      <family val="0"/>
    </font>
    <font>
      <b/>
      <sz val="10"/>
      <color indexed="12"/>
      <name val="Arial"/>
      <family val="2"/>
    </font>
    <font>
      <b/>
      <sz val="8"/>
      <name val="Arial"/>
      <family val="2"/>
    </font>
    <font>
      <sz val="7.5"/>
      <name val="Arial"/>
      <family val="0"/>
    </font>
    <font>
      <sz val="8"/>
      <name val="Tahoma"/>
      <family val="2"/>
    </font>
    <font>
      <b/>
      <sz val="14"/>
      <color indexed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medium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46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21" borderId="10" xfId="0" applyFont="1" applyFill="1" applyBorder="1" applyAlignment="1">
      <alignment horizontal="center" vertical="center"/>
    </xf>
    <xf numFmtId="0" fontId="3" fillId="21" borderId="11" xfId="0" applyFont="1" applyFill="1" applyBorder="1" applyAlignment="1">
      <alignment horizontal="center" vertical="center"/>
    </xf>
    <xf numFmtId="0" fontId="3" fillId="21" borderId="12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2" fillId="22" borderId="16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4" fillId="22" borderId="10" xfId="0" applyFont="1" applyFill="1" applyBorder="1" applyAlignment="1">
      <alignment horizontal="center" vertical="center"/>
    </xf>
    <xf numFmtId="0" fontId="11" fillId="22" borderId="1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0" borderId="0" xfId="0" applyFill="1" applyAlignment="1">
      <alignment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0" fillId="25" borderId="0" xfId="0" applyFont="1" applyFill="1" applyAlignment="1">
      <alignment shrinkToFit="1"/>
    </xf>
    <xf numFmtId="0" fontId="0" fillId="24" borderId="0" xfId="0" applyFont="1" applyFill="1" applyAlignment="1">
      <alignment shrinkToFit="1"/>
    </xf>
    <xf numFmtId="0" fontId="0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25" borderId="0" xfId="0" applyFill="1" applyAlignment="1">
      <alignment shrinkToFit="1"/>
    </xf>
    <xf numFmtId="0" fontId="0" fillId="24" borderId="0" xfId="0" applyFill="1" applyAlignment="1">
      <alignment shrinkToFit="1"/>
    </xf>
    <xf numFmtId="0" fontId="0" fillId="0" borderId="0" xfId="0" applyFill="1" applyAlignment="1">
      <alignment shrinkToFi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4" borderId="11" xfId="0" applyFill="1" applyBorder="1" applyAlignment="1">
      <alignment/>
    </xf>
    <xf numFmtId="0" fontId="0" fillId="26" borderId="11" xfId="0" applyFill="1" applyBorder="1" applyAlignment="1">
      <alignment/>
    </xf>
    <xf numFmtId="0" fontId="5" fillId="26" borderId="18" xfId="0" applyFont="1" applyFill="1" applyBorder="1" applyAlignment="1">
      <alignment/>
    </xf>
    <xf numFmtId="0" fontId="5" fillId="26" borderId="15" xfId="0" applyFont="1" applyFill="1" applyBorder="1" applyAlignment="1">
      <alignment/>
    </xf>
    <xf numFmtId="0" fontId="5" fillId="26" borderId="11" xfId="0" applyFont="1" applyFill="1" applyBorder="1" applyAlignment="1">
      <alignment/>
    </xf>
    <xf numFmtId="0" fontId="5" fillId="26" borderId="11" xfId="0" applyFont="1" applyFill="1" applyBorder="1" applyAlignment="1">
      <alignment/>
    </xf>
    <xf numFmtId="0" fontId="0" fillId="22" borderId="11" xfId="0" applyFill="1" applyBorder="1" applyAlignment="1">
      <alignment/>
    </xf>
    <xf numFmtId="0" fontId="0" fillId="26" borderId="0" xfId="0" applyFill="1" applyBorder="1" applyAlignment="1">
      <alignment/>
    </xf>
    <xf numFmtId="0" fontId="14" fillId="22" borderId="19" xfId="0" applyFont="1" applyFill="1" applyBorder="1" applyAlignment="1">
      <alignment horizontal="center" vertical="center"/>
    </xf>
    <xf numFmtId="0" fontId="14" fillId="22" borderId="17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14" fillId="4" borderId="20" xfId="0" applyFont="1" applyFill="1" applyBorder="1" applyAlignment="1">
      <alignment horizontal="center" vertical="center"/>
    </xf>
    <xf numFmtId="0" fontId="14" fillId="22" borderId="21" xfId="0" applyFont="1" applyFill="1" applyBorder="1" applyAlignment="1">
      <alignment horizontal="center" vertical="center"/>
    </xf>
    <xf numFmtId="0" fontId="12" fillId="22" borderId="22" xfId="0" applyFont="1" applyFill="1" applyBorder="1" applyAlignment="1">
      <alignment horizontal="center" vertical="center"/>
    </xf>
    <xf numFmtId="0" fontId="1" fillId="22" borderId="17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vertical="center"/>
    </xf>
    <xf numFmtId="0" fontId="1" fillId="27" borderId="0" xfId="0" applyFont="1" applyFill="1" applyAlignment="1">
      <alignment vertical="center"/>
    </xf>
    <xf numFmtId="0" fontId="0" fillId="0" borderId="0" xfId="0" applyBorder="1" applyAlignment="1">
      <alignment/>
    </xf>
    <xf numFmtId="0" fontId="14" fillId="22" borderId="23" xfId="0" applyFont="1" applyFill="1" applyBorder="1" applyAlignment="1">
      <alignment horizontal="center" vertical="center"/>
    </xf>
    <xf numFmtId="0" fontId="14" fillId="22" borderId="17" xfId="0" applyFont="1" applyFill="1" applyBorder="1" applyAlignment="1">
      <alignment horizontal="center" vertical="center" shrinkToFit="1"/>
    </xf>
    <xf numFmtId="0" fontId="0" fillId="4" borderId="11" xfId="0" applyFont="1" applyFill="1" applyBorder="1" applyAlignment="1">
      <alignment horizontal="center" vertical="center"/>
    </xf>
    <xf numFmtId="0" fontId="0" fillId="0" borderId="0" xfId="0" applyAlignment="1" quotePrefix="1">
      <alignment/>
    </xf>
    <xf numFmtId="0" fontId="1" fillId="22" borderId="12" xfId="0" applyFont="1" applyFill="1" applyBorder="1" applyAlignment="1">
      <alignment vertical="center"/>
    </xf>
    <xf numFmtId="0" fontId="0" fillId="22" borderId="18" xfId="0" applyFont="1" applyFill="1" applyBorder="1" applyAlignment="1">
      <alignment vertical="center"/>
    </xf>
    <xf numFmtId="0" fontId="0" fillId="22" borderId="15" xfId="0" applyFont="1" applyFill="1" applyBorder="1" applyAlignment="1">
      <alignment vertical="center"/>
    </xf>
    <xf numFmtId="0" fontId="0" fillId="24" borderId="0" xfId="0" applyFill="1" applyAlignment="1" quotePrefix="1">
      <alignment/>
    </xf>
    <xf numFmtId="0" fontId="13" fillId="22" borderId="11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3" fillId="20" borderId="12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left" vertical="center"/>
    </xf>
    <xf numFmtId="0" fontId="4" fillId="20" borderId="11" xfId="0" applyFont="1" applyFill="1" applyBorder="1" applyAlignment="1">
      <alignment vertical="center"/>
    </xf>
    <xf numFmtId="0" fontId="4" fillId="20" borderId="11" xfId="0" applyFont="1" applyFill="1" applyBorder="1" applyAlignment="1">
      <alignment horizontal="left" vertical="center" shrinkToFit="1"/>
    </xf>
    <xf numFmtId="0" fontId="3" fillId="20" borderId="24" xfId="0" applyFont="1" applyFill="1" applyBorder="1" applyAlignment="1">
      <alignment horizontal="left" vertical="center"/>
    </xf>
    <xf numFmtId="0" fontId="3" fillId="20" borderId="25" xfId="0" applyFont="1" applyFill="1" applyBorder="1" applyAlignment="1">
      <alignment horizontal="left" vertical="center"/>
    </xf>
    <xf numFmtId="0" fontId="5" fillId="20" borderId="12" xfId="0" applyFont="1" applyFill="1" applyBorder="1" applyAlignment="1">
      <alignment horizontal="left" vertical="center" shrinkToFit="1"/>
    </xf>
    <xf numFmtId="0" fontId="3" fillId="20" borderId="10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vertical="center"/>
    </xf>
    <xf numFmtId="0" fontId="3" fillId="20" borderId="17" xfId="0" applyFont="1" applyFill="1" applyBorder="1" applyAlignment="1">
      <alignment horizontal="left" vertical="center"/>
    </xf>
    <xf numFmtId="0" fontId="3" fillId="20" borderId="26" xfId="0" applyFont="1" applyFill="1" applyBorder="1" applyAlignment="1">
      <alignment horizontal="left" vertical="center"/>
    </xf>
    <xf numFmtId="0" fontId="5" fillId="20" borderId="27" xfId="0" applyFont="1" applyFill="1" applyBorder="1" applyAlignment="1">
      <alignment horizontal="left" vertical="center" shrinkToFit="1"/>
    </xf>
    <xf numFmtId="0" fontId="0" fillId="20" borderId="11" xfId="0" applyFill="1" applyBorder="1" applyAlignment="1">
      <alignment/>
    </xf>
    <xf numFmtId="0" fontId="1" fillId="20" borderId="23" xfId="0" applyFont="1" applyFill="1" applyBorder="1" applyAlignment="1">
      <alignment vertical="center"/>
    </xf>
    <xf numFmtId="0" fontId="0" fillId="8" borderId="11" xfId="0" applyFill="1" applyBorder="1" applyAlignment="1">
      <alignment/>
    </xf>
    <xf numFmtId="0" fontId="5" fillId="20" borderId="11" xfId="0" applyFont="1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11" xfId="0" applyFill="1" applyBorder="1" applyAlignment="1">
      <alignment/>
    </xf>
    <xf numFmtId="0" fontId="5" fillId="20" borderId="11" xfId="0" applyFont="1" applyFill="1" applyBorder="1" applyAlignment="1">
      <alignment/>
    </xf>
    <xf numFmtId="0" fontId="5" fillId="21" borderId="11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 vertical="center"/>
    </xf>
    <xf numFmtId="0" fontId="0" fillId="4" borderId="11" xfId="0" applyFill="1" applyBorder="1" applyAlignment="1" applyProtection="1">
      <alignment/>
      <protection locked="0"/>
    </xf>
    <xf numFmtId="0" fontId="0" fillId="4" borderId="28" xfId="0" applyFill="1" applyBorder="1" applyAlignment="1" applyProtection="1">
      <alignment/>
      <protection locked="0"/>
    </xf>
    <xf numFmtId="0" fontId="0" fillId="4" borderId="11" xfId="0" applyFill="1" applyBorder="1" applyAlignment="1" applyProtection="1">
      <alignment/>
      <protection locked="0"/>
    </xf>
    <xf numFmtId="0" fontId="0" fillId="4" borderId="29" xfId="0" applyFill="1" applyBorder="1" applyAlignment="1" applyProtection="1">
      <alignment/>
      <protection locked="0"/>
    </xf>
    <xf numFmtId="0" fontId="3" fillId="20" borderId="25" xfId="0" applyFont="1" applyFill="1" applyBorder="1" applyAlignment="1" applyProtection="1">
      <alignment horizontal="left" vertical="center"/>
      <protection/>
    </xf>
    <xf numFmtId="0" fontId="5" fillId="22" borderId="11" xfId="0" applyFont="1" applyFill="1" applyBorder="1" applyAlignment="1">
      <alignment horizontal="center"/>
    </xf>
    <xf numFmtId="0" fontId="13" fillId="22" borderId="0" xfId="0" applyFont="1" applyFill="1" applyBorder="1" applyAlignment="1">
      <alignment horizontal="center" vertical="center"/>
    </xf>
    <xf numFmtId="0" fontId="43" fillId="20" borderId="17" xfId="0" applyFont="1" applyFill="1" applyBorder="1" applyAlignment="1">
      <alignment/>
    </xf>
    <xf numFmtId="0" fontId="13" fillId="22" borderId="17" xfId="0" applyFont="1" applyFill="1" applyBorder="1" applyAlignment="1">
      <alignment horizontal="center"/>
    </xf>
    <xf numFmtId="0" fontId="13" fillId="22" borderId="28" xfId="0" applyFont="1" applyFill="1" applyBorder="1" applyAlignment="1">
      <alignment horizontal="center" vertical="center"/>
    </xf>
    <xf numFmtId="0" fontId="13" fillId="22" borderId="13" xfId="0" applyFont="1" applyFill="1" applyBorder="1" applyAlignment="1">
      <alignment horizontal="center"/>
    </xf>
    <xf numFmtId="0" fontId="14" fillId="22" borderId="11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44" fillId="24" borderId="0" xfId="0" applyFont="1" applyFill="1" applyAlignment="1">
      <alignment/>
    </xf>
    <xf numFmtId="0" fontId="0" fillId="0" borderId="0" xfId="0" applyFont="1" applyFill="1" applyAlignment="1">
      <alignment shrinkToFit="1"/>
    </xf>
    <xf numFmtId="0" fontId="0" fillId="4" borderId="12" xfId="0" applyFill="1" applyBorder="1" applyAlignment="1" applyProtection="1">
      <alignment/>
      <protection locked="0"/>
    </xf>
    <xf numFmtId="0" fontId="0" fillId="21" borderId="30" xfId="0" applyFill="1" applyBorder="1" applyAlignment="1">
      <alignment/>
    </xf>
    <xf numFmtId="0" fontId="0" fillId="22" borderId="18" xfId="0" applyFill="1" applyBorder="1" applyAlignment="1" applyProtection="1">
      <alignment horizontal="center"/>
      <protection locked="0"/>
    </xf>
    <xf numFmtId="0" fontId="5" fillId="20" borderId="31" xfId="0" applyFont="1" applyFill="1" applyBorder="1" applyAlignment="1">
      <alignment/>
    </xf>
    <xf numFmtId="0" fontId="0" fillId="21" borderId="32" xfId="0" applyFill="1" applyBorder="1" applyAlignment="1">
      <alignment/>
    </xf>
    <xf numFmtId="0" fontId="5" fillId="22" borderId="33" xfId="0" applyFont="1" applyFill="1" applyBorder="1" applyAlignment="1">
      <alignment horizontal="center"/>
    </xf>
    <xf numFmtId="0" fontId="43" fillId="20" borderId="34" xfId="0" applyFont="1" applyFill="1" applyBorder="1" applyAlignment="1">
      <alignment/>
    </xf>
    <xf numFmtId="0" fontId="0" fillId="4" borderId="33" xfId="0" applyFill="1" applyBorder="1" applyAlignment="1" applyProtection="1">
      <alignment/>
      <protection locked="0"/>
    </xf>
    <xf numFmtId="0" fontId="0" fillId="0" borderId="35" xfId="0" applyBorder="1" applyAlignment="1">
      <alignment/>
    </xf>
    <xf numFmtId="0" fontId="0" fillId="21" borderId="33" xfId="0" applyFill="1" applyBorder="1" applyAlignment="1">
      <alignment/>
    </xf>
    <xf numFmtId="0" fontId="0" fillId="4" borderId="33" xfId="0" applyFill="1" applyBorder="1" applyAlignment="1" applyProtection="1">
      <alignment/>
      <protection locked="0"/>
    </xf>
    <xf numFmtId="0" fontId="0" fillId="22" borderId="33" xfId="0" applyFill="1" applyBorder="1" applyAlignment="1">
      <alignment/>
    </xf>
    <xf numFmtId="0" fontId="0" fillId="0" borderId="36" xfId="0" applyBorder="1" applyAlignment="1">
      <alignment/>
    </xf>
    <xf numFmtId="0" fontId="5" fillId="20" borderId="37" xfId="0" applyFont="1" applyFill="1" applyBorder="1" applyAlignment="1">
      <alignment/>
    </xf>
    <xf numFmtId="0" fontId="0" fillId="20" borderId="37" xfId="0" applyFill="1" applyBorder="1" applyAlignment="1">
      <alignment/>
    </xf>
    <xf numFmtId="0" fontId="0" fillId="22" borderId="38" xfId="0" applyFill="1" applyBorder="1" applyAlignment="1">
      <alignment/>
    </xf>
    <xf numFmtId="0" fontId="0" fillId="8" borderId="23" xfId="0" applyFill="1" applyBorder="1" applyAlignment="1" applyProtection="1">
      <alignment/>
      <protection locked="0"/>
    </xf>
    <xf numFmtId="0" fontId="0" fillId="4" borderId="39" xfId="0" applyFill="1" applyBorder="1" applyAlignment="1" applyProtection="1">
      <alignment/>
      <protection locked="0"/>
    </xf>
    <xf numFmtId="0" fontId="0" fillId="22" borderId="12" xfId="0" applyFill="1" applyBorder="1" applyAlignment="1">
      <alignment/>
    </xf>
    <xf numFmtId="0" fontId="43" fillId="20" borderId="34" xfId="0" applyFont="1" applyFill="1" applyBorder="1" applyAlignment="1">
      <alignment shrinkToFit="1"/>
    </xf>
    <xf numFmtId="0" fontId="0" fillId="15" borderId="33" xfId="0" applyFill="1" applyBorder="1" applyAlignment="1">
      <alignment/>
    </xf>
    <xf numFmtId="0" fontId="0" fillId="20" borderId="33" xfId="0" applyFill="1" applyBorder="1" applyAlignment="1">
      <alignment/>
    </xf>
    <xf numFmtId="0" fontId="0" fillId="20" borderId="30" xfId="0" applyFill="1" applyBorder="1" applyAlignment="1">
      <alignment/>
    </xf>
    <xf numFmtId="0" fontId="0" fillId="20" borderId="32" xfId="0" applyFill="1" applyBorder="1" applyAlignment="1">
      <alignment/>
    </xf>
    <xf numFmtId="0" fontId="3" fillId="0" borderId="40" xfId="0" applyFont="1" applyFill="1" applyBorder="1" applyAlignment="1" applyProtection="1">
      <alignment horizontal="left" vertical="center"/>
      <protection/>
    </xf>
    <xf numFmtId="0" fontId="0" fillId="18" borderId="0" xfId="0" applyFill="1" applyAlignment="1">
      <alignment/>
    </xf>
    <xf numFmtId="0" fontId="0" fillId="18" borderId="41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35" xfId="0" applyFill="1" applyBorder="1" applyAlignment="1">
      <alignment/>
    </xf>
    <xf numFmtId="0" fontId="0" fillId="0" borderId="11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39" xfId="0" applyFill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33" xfId="0" applyFill="1" applyBorder="1" applyAlignment="1" applyProtection="1">
      <alignment/>
      <protection locked="0"/>
    </xf>
    <xf numFmtId="0" fontId="0" fillId="0" borderId="33" xfId="0" applyFill="1" applyBorder="1" applyAlignment="1">
      <alignment/>
    </xf>
    <xf numFmtId="0" fontId="0" fillId="0" borderId="42" xfId="0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 locked="0"/>
    </xf>
    <xf numFmtId="0" fontId="0" fillId="0" borderId="38" xfId="0" applyFill="1" applyBorder="1" applyAlignment="1">
      <alignment/>
    </xf>
    <xf numFmtId="0" fontId="0" fillId="18" borderId="36" xfId="0" applyFill="1" applyBorder="1" applyAlignment="1">
      <alignment/>
    </xf>
    <xf numFmtId="0" fontId="3" fillId="20" borderId="43" xfId="0" applyFont="1" applyFill="1" applyBorder="1" applyAlignment="1" applyProtection="1">
      <alignment horizontal="left" vertical="center"/>
      <protection/>
    </xf>
    <xf numFmtId="0" fontId="42" fillId="22" borderId="44" xfId="0" applyFont="1" applyFill="1" applyBorder="1" applyAlignment="1" applyProtection="1">
      <alignment horizontal="center"/>
      <protection/>
    </xf>
    <xf numFmtId="0" fontId="42" fillId="22" borderId="42" xfId="0" applyFont="1" applyFill="1" applyBorder="1" applyAlignment="1" applyProtection="1">
      <alignment horizontal="center"/>
      <protection/>
    </xf>
    <xf numFmtId="0" fontId="13" fillId="22" borderId="37" xfId="0" applyFont="1" applyFill="1" applyBorder="1" applyAlignment="1">
      <alignment horizontal="center"/>
    </xf>
    <xf numFmtId="0" fontId="46" fillId="22" borderId="37" xfId="0" applyFont="1" applyFill="1" applyBorder="1" applyAlignment="1">
      <alignment horizontal="center"/>
    </xf>
    <xf numFmtId="0" fontId="46" fillId="22" borderId="38" xfId="0" applyFont="1" applyFill="1" applyBorder="1" applyAlignment="1">
      <alignment horizontal="center"/>
    </xf>
    <xf numFmtId="0" fontId="13" fillId="22" borderId="45" xfId="0" applyFont="1" applyFill="1" applyBorder="1" applyAlignment="1">
      <alignment horizontal="center"/>
    </xf>
    <xf numFmtId="0" fontId="0" fillId="22" borderId="42" xfId="0" applyFill="1" applyBorder="1" applyAlignment="1" applyProtection="1">
      <alignment/>
      <protection/>
    </xf>
    <xf numFmtId="0" fontId="0" fillId="24" borderId="0" xfId="0" applyNumberFormat="1" applyFill="1" applyAlignment="1">
      <alignment/>
    </xf>
    <xf numFmtId="0" fontId="5" fillId="15" borderId="34" xfId="0" applyFont="1" applyFill="1" applyBorder="1" applyAlignment="1">
      <alignment horizontal="center"/>
    </xf>
    <xf numFmtId="0" fontId="5" fillId="20" borderId="12" xfId="0" applyFont="1" applyFill="1" applyBorder="1" applyAlignment="1">
      <alignment horizontal="center"/>
    </xf>
    <xf numFmtId="0" fontId="0" fillId="20" borderId="18" xfId="0" applyFill="1" applyBorder="1" applyAlignment="1">
      <alignment/>
    </xf>
    <xf numFmtId="0" fontId="0" fillId="20" borderId="41" xfId="0" applyFill="1" applyBorder="1" applyAlignment="1">
      <alignment/>
    </xf>
    <xf numFmtId="0" fontId="0" fillId="20" borderId="18" xfId="0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0" fontId="0" fillId="20" borderId="11" xfId="0" applyFill="1" applyBorder="1" applyAlignment="1">
      <alignment/>
    </xf>
    <xf numFmtId="0" fontId="5" fillId="20" borderId="34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5" fillId="20" borderId="46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46" xfId="0" applyFill="1" applyBorder="1" applyAlignment="1" applyProtection="1">
      <alignment horizontal="left" vertical="top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33" xfId="0" applyFill="1" applyBorder="1" applyAlignment="1" applyProtection="1">
      <alignment/>
      <protection locked="0"/>
    </xf>
    <xf numFmtId="0" fontId="5" fillId="20" borderId="47" xfId="0" applyFont="1" applyFill="1" applyBorder="1" applyAlignment="1">
      <alignment/>
    </xf>
    <xf numFmtId="0" fontId="0" fillId="0" borderId="48" xfId="0" applyFont="1" applyBorder="1" applyAlignment="1">
      <alignment/>
    </xf>
    <xf numFmtId="0" fontId="0" fillId="0" borderId="48" xfId="0" applyBorder="1" applyAlignment="1">
      <alignment/>
    </xf>
    <xf numFmtId="0" fontId="0" fillId="0" borderId="37" xfId="0" applyFill="1" applyBorder="1" applyAlignment="1" applyProtection="1">
      <alignment/>
      <protection locked="0"/>
    </xf>
    <xf numFmtId="0" fontId="0" fillId="0" borderId="37" xfId="0" applyFill="1" applyBorder="1" applyAlignment="1">
      <alignment/>
    </xf>
    <xf numFmtId="0" fontId="0" fillId="0" borderId="34" xfId="0" applyFill="1" applyBorder="1" applyAlignment="1" applyProtection="1">
      <alignment horizontal="left" vertical="top"/>
      <protection locked="0"/>
    </xf>
    <xf numFmtId="0" fontId="0" fillId="0" borderId="18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 applyProtection="1">
      <alignment/>
      <protection locked="0"/>
    </xf>
    <xf numFmtId="0" fontId="0" fillId="0" borderId="41" xfId="0" applyFill="1" applyBorder="1" applyAlignment="1">
      <alignment/>
    </xf>
    <xf numFmtId="0" fontId="5" fillId="20" borderId="11" xfId="0" applyFont="1" applyFill="1" applyBorder="1" applyAlignment="1">
      <alignment/>
    </xf>
    <xf numFmtId="0" fontId="5" fillId="20" borderId="34" xfId="0" applyFont="1" applyFill="1" applyBorder="1" applyAlignment="1">
      <alignment/>
    </xf>
    <xf numFmtId="0" fontId="0" fillId="15" borderId="18" xfId="0" applyFill="1" applyBorder="1" applyAlignment="1">
      <alignment horizontal="center"/>
    </xf>
    <xf numFmtId="0" fontId="0" fillId="15" borderId="49" xfId="0" applyFill="1" applyBorder="1" applyAlignment="1">
      <alignment horizontal="center"/>
    </xf>
    <xf numFmtId="0" fontId="5" fillId="20" borderId="12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0" xfId="0" applyBorder="1" applyAlignment="1">
      <alignment horizontal="center"/>
    </xf>
    <xf numFmtId="0" fontId="43" fillId="20" borderId="46" xfId="0" applyFont="1" applyFill="1" applyBorder="1" applyAlignment="1">
      <alignment/>
    </xf>
    <xf numFmtId="0" fontId="0" fillId="15" borderId="18" xfId="0" applyFont="1" applyFill="1" applyBorder="1" applyAlignment="1">
      <alignment horizontal="center"/>
    </xf>
    <xf numFmtId="0" fontId="0" fillId="15" borderId="15" xfId="0" applyFont="1" applyFill="1" applyBorder="1" applyAlignment="1">
      <alignment horizontal="center"/>
    </xf>
    <xf numFmtId="0" fontId="5" fillId="20" borderId="12" xfId="0" applyFont="1" applyFill="1" applyBorder="1" applyAlignment="1">
      <alignment shrinkToFit="1"/>
    </xf>
    <xf numFmtId="0" fontId="0" fillId="0" borderId="18" xfId="0" applyBorder="1" applyAlignment="1">
      <alignment shrinkToFit="1"/>
    </xf>
    <xf numFmtId="0" fontId="0" fillId="0" borderId="15" xfId="0" applyBorder="1" applyAlignment="1">
      <alignment shrinkToFit="1"/>
    </xf>
    <xf numFmtId="0" fontId="5" fillId="20" borderId="51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4" xfId="0" applyFill="1" applyBorder="1" applyAlignment="1" applyProtection="1">
      <alignment/>
      <protection locked="0"/>
    </xf>
    <xf numFmtId="0" fontId="0" fillId="0" borderId="55" xfId="0" applyFill="1" applyBorder="1" applyAlignment="1">
      <alignment/>
    </xf>
    <xf numFmtId="0" fontId="0" fillId="0" borderId="52" xfId="0" applyFill="1" applyBorder="1" applyAlignment="1">
      <alignment/>
    </xf>
    <xf numFmtId="0" fontId="5" fillId="20" borderId="11" xfId="0" applyFont="1" applyFill="1" applyBorder="1" applyAlignment="1">
      <alignment shrinkToFit="1"/>
    </xf>
    <xf numFmtId="0" fontId="0" fillId="0" borderId="11" xfId="0" applyBorder="1" applyAlignment="1">
      <alignment shrinkToFit="1"/>
    </xf>
    <xf numFmtId="0" fontId="5" fillId="15" borderId="4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1" xfId="0" applyFont="1" applyFill="1" applyBorder="1" applyAlignment="1" applyProtection="1">
      <alignment/>
      <protection locked="0"/>
    </xf>
    <xf numFmtId="0" fontId="0" fillId="0" borderId="56" xfId="0" applyFont="1" applyFill="1" applyBorder="1" applyAlignment="1" applyProtection="1">
      <alignment/>
      <protection locked="0"/>
    </xf>
    <xf numFmtId="0" fontId="39" fillId="20" borderId="57" xfId="0" applyFont="1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53" xfId="0" applyBorder="1" applyAlignment="1">
      <alignment/>
    </xf>
    <xf numFmtId="0" fontId="0" fillId="0" borderId="30" xfId="0" applyBorder="1" applyAlignment="1">
      <alignment/>
    </xf>
    <xf numFmtId="0" fontId="0" fillId="0" borderId="49" xfId="0" applyBorder="1" applyAlignment="1">
      <alignment/>
    </xf>
    <xf numFmtId="0" fontId="41" fillId="0" borderId="60" xfId="0" applyFont="1" applyFill="1" applyBorder="1" applyAlignment="1" applyProtection="1">
      <alignment horizontal="center"/>
      <protection locked="0"/>
    </xf>
    <xf numFmtId="0" fontId="41" fillId="0" borderId="59" xfId="0" applyFont="1" applyFill="1" applyBorder="1" applyAlignment="1" applyProtection="1">
      <alignment horizontal="center"/>
      <protection locked="0"/>
    </xf>
    <xf numFmtId="0" fontId="41" fillId="0" borderId="39" xfId="0" applyFont="1" applyFill="1" applyBorder="1" applyAlignment="1" applyProtection="1">
      <alignment horizontal="center"/>
      <protection locked="0"/>
    </xf>
    <xf numFmtId="0" fontId="41" fillId="0" borderId="49" xfId="0" applyFont="1" applyFill="1" applyBorder="1" applyAlignment="1" applyProtection="1">
      <alignment horizontal="center"/>
      <protection locked="0"/>
    </xf>
    <xf numFmtId="0" fontId="5" fillId="20" borderId="31" xfId="0" applyFont="1" applyFill="1" applyBorder="1" applyAlignment="1">
      <alignment/>
    </xf>
    <xf numFmtId="0" fontId="5" fillId="20" borderId="61" xfId="0" applyFont="1" applyFill="1" applyBorder="1" applyAlignment="1">
      <alignment/>
    </xf>
    <xf numFmtId="0" fontId="0" fillId="0" borderId="62" xfId="0" applyBorder="1" applyAlignment="1">
      <alignment/>
    </xf>
    <xf numFmtId="0" fontId="0" fillId="0" borderId="12" xfId="0" applyFont="1" applyFill="1" applyBorder="1" applyAlignment="1" applyProtection="1">
      <alignment/>
      <protection locked="0"/>
    </xf>
    <xf numFmtId="0" fontId="0" fillId="0" borderId="41" xfId="0" applyFont="1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 locked="0"/>
    </xf>
    <xf numFmtId="0" fontId="0" fillId="0" borderId="61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 horizontal="center"/>
      <protection/>
    </xf>
    <xf numFmtId="0" fontId="0" fillId="0" borderId="63" xfId="0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0" fillId="0" borderId="40" xfId="0" applyFill="1" applyBorder="1" applyAlignment="1" applyProtection="1">
      <alignment horizontal="center"/>
      <protection/>
    </xf>
    <xf numFmtId="0" fontId="9" fillId="4" borderId="12" xfId="0" applyFont="1" applyFill="1" applyBorder="1" applyAlignment="1">
      <alignment vertical="center"/>
    </xf>
    <xf numFmtId="0" fontId="9" fillId="4" borderId="18" xfId="0" applyFont="1" applyFill="1" applyBorder="1" applyAlignment="1">
      <alignment vertical="center"/>
    </xf>
    <xf numFmtId="0" fontId="9" fillId="4" borderId="15" xfId="0" applyFont="1" applyFill="1" applyBorder="1" applyAlignment="1">
      <alignment vertical="center"/>
    </xf>
    <xf numFmtId="0" fontId="1" fillId="8" borderId="28" xfId="0" applyFont="1" applyFill="1" applyBorder="1" applyAlignment="1">
      <alignment vertical="center" shrinkToFit="1"/>
    </xf>
    <xf numFmtId="0" fontId="0" fillId="8" borderId="28" xfId="0" applyFont="1" applyFill="1" applyBorder="1" applyAlignment="1">
      <alignment vertical="center" shrinkToFit="1"/>
    </xf>
    <xf numFmtId="0" fontId="4" fillId="20" borderId="64" xfId="0" applyFont="1" applyFill="1" applyBorder="1" applyAlignment="1">
      <alignment vertical="center"/>
    </xf>
    <xf numFmtId="0" fontId="4" fillId="20" borderId="18" xfId="0" applyFont="1" applyFill="1" applyBorder="1" applyAlignment="1">
      <alignment vertical="center"/>
    </xf>
    <xf numFmtId="0" fontId="4" fillId="20" borderId="15" xfId="0" applyFont="1" applyFill="1" applyBorder="1" applyAlignment="1">
      <alignment vertical="center"/>
    </xf>
    <xf numFmtId="0" fontId="13" fillId="22" borderId="12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4" fillId="20" borderId="64" xfId="0" applyFont="1" applyFill="1" applyBorder="1" applyAlignment="1">
      <alignment horizontal="left" vertical="center"/>
    </xf>
    <xf numFmtId="0" fontId="0" fillId="0" borderId="18" xfId="0" applyBorder="1" applyAlignment="1">
      <alignment/>
    </xf>
    <xf numFmtId="0" fontId="5" fillId="20" borderId="17" xfId="0" applyFont="1" applyFill="1" applyBorder="1" applyAlignment="1">
      <alignment vertical="center"/>
    </xf>
    <xf numFmtId="0" fontId="3" fillId="20" borderId="64" xfId="0" applyFont="1" applyFill="1" applyBorder="1" applyAlignment="1">
      <alignment horizontal="left" vertical="center"/>
    </xf>
    <xf numFmtId="0" fontId="0" fillId="20" borderId="18" xfId="0" applyFill="1" applyBorder="1" applyAlignment="1">
      <alignment horizontal="left" vertical="center"/>
    </xf>
    <xf numFmtId="0" fontId="1" fillId="8" borderId="18" xfId="0" applyFont="1" applyFill="1" applyBorder="1" applyAlignment="1">
      <alignment horizontal="left" vertical="center"/>
    </xf>
    <xf numFmtId="0" fontId="1" fillId="8" borderId="15" xfId="0" applyFont="1" applyFill="1" applyBorder="1" applyAlignment="1">
      <alignment horizontal="left" vertical="center"/>
    </xf>
    <xf numFmtId="0" fontId="9" fillId="4" borderId="11" xfId="0" applyFont="1" applyFill="1" applyBorder="1" applyAlignment="1">
      <alignment vertical="center"/>
    </xf>
    <xf numFmtId="0" fontId="1" fillId="0" borderId="65" xfId="0" applyFont="1" applyBorder="1" applyAlignment="1">
      <alignment vertical="center"/>
    </xf>
    <xf numFmtId="0" fontId="0" fillId="0" borderId="55" xfId="0" applyBorder="1" applyAlignment="1">
      <alignment/>
    </xf>
    <xf numFmtId="0" fontId="0" fillId="0" borderId="52" xfId="0" applyBorder="1" applyAlignment="1">
      <alignment/>
    </xf>
    <xf numFmtId="0" fontId="0" fillId="0" borderId="66" xfId="0" applyBorder="1" applyAlignment="1">
      <alignment/>
    </xf>
    <xf numFmtId="0" fontId="0" fillId="0" borderId="0" xfId="0" applyBorder="1" applyAlignment="1">
      <alignment/>
    </xf>
    <xf numFmtId="0" fontId="0" fillId="0" borderId="50" xfId="0" applyBorder="1" applyAlignment="1">
      <alignment/>
    </xf>
    <xf numFmtId="0" fontId="1" fillId="5" borderId="28" xfId="0" applyFont="1" applyFill="1" applyBorder="1" applyAlignment="1">
      <alignment vertical="center" shrinkToFit="1"/>
    </xf>
    <xf numFmtId="0" fontId="0" fillId="5" borderId="28" xfId="0" applyFont="1" applyFill="1" applyBorder="1" applyAlignment="1">
      <alignment vertical="center" shrinkToFit="1"/>
    </xf>
    <xf numFmtId="0" fontId="3" fillId="20" borderId="67" xfId="0" applyFont="1" applyFill="1" applyBorder="1" applyAlignment="1">
      <alignment horizontal="left" vertical="center"/>
    </xf>
    <xf numFmtId="0" fontId="0" fillId="20" borderId="68" xfId="0" applyFill="1" applyBorder="1" applyAlignment="1">
      <alignment horizontal="left" vertical="center"/>
    </xf>
    <xf numFmtId="0" fontId="3" fillId="21" borderId="17" xfId="0" applyFont="1" applyFill="1" applyBorder="1" applyAlignment="1">
      <alignment horizontal="left" vertical="center"/>
    </xf>
    <xf numFmtId="0" fontId="5" fillId="21" borderId="17" xfId="0" applyFont="1" applyFill="1" applyBorder="1" applyAlignment="1">
      <alignment vertical="center"/>
    </xf>
    <xf numFmtId="0" fontId="3" fillId="21" borderId="64" xfId="0" applyFont="1" applyFill="1" applyBorder="1" applyAlignment="1">
      <alignment horizontal="left" vertical="center"/>
    </xf>
    <xf numFmtId="0" fontId="5" fillId="21" borderId="18" xfId="0" applyFont="1" applyFill="1" applyBorder="1" applyAlignment="1">
      <alignment horizontal="left" vertical="center"/>
    </xf>
    <xf numFmtId="0" fontId="3" fillId="20" borderId="69" xfId="0" applyFont="1" applyFill="1" applyBorder="1" applyAlignment="1">
      <alignment horizontal="left" vertical="center"/>
    </xf>
    <xf numFmtId="0" fontId="0" fillId="20" borderId="70" xfId="0" applyFill="1" applyBorder="1" applyAlignment="1">
      <alignment vertical="center"/>
    </xf>
    <xf numFmtId="0" fontId="0" fillId="22" borderId="18" xfId="0" applyFont="1" applyFill="1" applyBorder="1" applyAlignment="1">
      <alignment horizontal="left" vertical="center" shrinkToFit="1"/>
    </xf>
    <xf numFmtId="0" fontId="0" fillId="22" borderId="15" xfId="0" applyFill="1" applyBorder="1" applyAlignment="1">
      <alignment horizontal="left" vertical="center" shrinkToFit="1"/>
    </xf>
    <xf numFmtId="0" fontId="43" fillId="20" borderId="69" xfId="0" applyFont="1" applyFill="1" applyBorder="1" applyAlignment="1">
      <alignment/>
    </xf>
    <xf numFmtId="0" fontId="43" fillId="20" borderId="70" xfId="0" applyFont="1" applyFill="1" applyBorder="1" applyAlignment="1">
      <alignment/>
    </xf>
    <xf numFmtId="0" fontId="1" fillId="22" borderId="54" xfId="0" applyFont="1" applyFill="1" applyBorder="1" applyAlignment="1">
      <alignment horizontal="left" vertical="center" wrapText="1"/>
    </xf>
    <xf numFmtId="0" fontId="1" fillId="22" borderId="55" xfId="0" applyFont="1" applyFill="1" applyBorder="1" applyAlignment="1">
      <alignment horizontal="left" vertical="center" wrapText="1"/>
    </xf>
    <xf numFmtId="0" fontId="1" fillId="22" borderId="71" xfId="0" applyFont="1" applyFill="1" applyBorder="1" applyAlignment="1">
      <alignment horizontal="left" vertical="center" wrapText="1"/>
    </xf>
    <xf numFmtId="0" fontId="1" fillId="22" borderId="39" xfId="0" applyFont="1" applyFill="1" applyBorder="1" applyAlignment="1">
      <alignment horizontal="left" vertical="center" wrapText="1"/>
    </xf>
    <xf numFmtId="0" fontId="1" fillId="22" borderId="30" xfId="0" applyFont="1" applyFill="1" applyBorder="1" applyAlignment="1">
      <alignment horizontal="left" vertical="center" wrapText="1"/>
    </xf>
    <xf numFmtId="0" fontId="1" fillId="22" borderId="72" xfId="0" applyFont="1" applyFill="1" applyBorder="1" applyAlignment="1">
      <alignment horizontal="left" vertical="center" wrapText="1"/>
    </xf>
    <xf numFmtId="0" fontId="3" fillId="20" borderId="25" xfId="0" applyFont="1" applyFill="1" applyBorder="1" applyAlignment="1">
      <alignment horizontal="left" vertical="center"/>
    </xf>
    <xf numFmtId="0" fontId="3" fillId="20" borderId="63" xfId="0" applyFont="1" applyFill="1" applyBorder="1" applyAlignment="1">
      <alignment horizontal="left" vertical="center"/>
    </xf>
    <xf numFmtId="0" fontId="3" fillId="20" borderId="27" xfId="0" applyFont="1" applyFill="1" applyBorder="1" applyAlignment="1">
      <alignment horizontal="left" vertical="center"/>
    </xf>
    <xf numFmtId="0" fontId="3" fillId="20" borderId="73" xfId="0" applyFont="1" applyFill="1" applyBorder="1" applyAlignment="1">
      <alignment horizontal="left" vertical="center"/>
    </xf>
    <xf numFmtId="0" fontId="4" fillId="20" borderId="12" xfId="0" applyFont="1" applyFill="1" applyBorder="1" applyAlignment="1">
      <alignment horizontal="left" vertical="center"/>
    </xf>
    <xf numFmtId="0" fontId="4" fillId="20" borderId="18" xfId="0" applyFont="1" applyFill="1" applyBorder="1" applyAlignment="1">
      <alignment horizontal="left" vertical="center"/>
    </xf>
    <xf numFmtId="0" fontId="4" fillId="20" borderId="15" xfId="0" applyFont="1" applyFill="1" applyBorder="1" applyAlignment="1">
      <alignment horizontal="left" vertical="center"/>
    </xf>
    <xf numFmtId="0" fontId="3" fillId="20" borderId="74" xfId="0" applyFont="1" applyFill="1" applyBorder="1" applyAlignment="1">
      <alignment horizontal="left" vertical="center"/>
    </xf>
    <xf numFmtId="0" fontId="0" fillId="20" borderId="74" xfId="0" applyFill="1" applyBorder="1" applyAlignment="1">
      <alignment horizontal="left" vertical="center"/>
    </xf>
    <xf numFmtId="0" fontId="5" fillId="8" borderId="27" xfId="0" applyFont="1" applyFill="1" applyBorder="1" applyAlignment="1">
      <alignment horizontal="center" vertical="center"/>
    </xf>
    <xf numFmtId="0" fontId="5" fillId="8" borderId="63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22" fontId="5" fillId="20" borderId="12" xfId="0" applyNumberFormat="1" applyFont="1" applyFill="1" applyBorder="1" applyAlignment="1">
      <alignment horizontal="center" vertical="center"/>
    </xf>
    <xf numFmtId="22" fontId="5" fillId="20" borderId="18" xfId="0" applyNumberFormat="1" applyFont="1" applyFill="1" applyBorder="1" applyAlignment="1">
      <alignment horizontal="center" vertical="center"/>
    </xf>
    <xf numFmtId="22" fontId="5" fillId="20" borderId="75" xfId="0" applyNumberFormat="1" applyFont="1" applyFill="1" applyBorder="1" applyAlignment="1">
      <alignment horizontal="center" vertical="center"/>
    </xf>
    <xf numFmtId="22" fontId="0" fillId="20" borderId="54" xfId="0" applyNumberFormat="1" applyFill="1" applyBorder="1" applyAlignment="1">
      <alignment horizontal="left" vertical="center"/>
    </xf>
    <xf numFmtId="22" fontId="0" fillId="20" borderId="75" xfId="0" applyNumberFormat="1" applyFill="1" applyBorder="1" applyAlignment="1">
      <alignment horizontal="left" vertical="center"/>
    </xf>
    <xf numFmtId="0" fontId="17" fillId="22" borderId="12" xfId="0" applyFont="1" applyFill="1" applyBorder="1" applyAlignment="1">
      <alignment vertical="center" wrapText="1"/>
    </xf>
    <xf numFmtId="0" fontId="16" fillId="22" borderId="18" xfId="0" applyFont="1" applyFill="1" applyBorder="1" applyAlignment="1">
      <alignment vertical="center" wrapText="1"/>
    </xf>
    <xf numFmtId="0" fontId="16" fillId="22" borderId="15" xfId="0" applyFont="1" applyFill="1" applyBorder="1" applyAlignment="1">
      <alignment vertical="center" wrapText="1"/>
    </xf>
    <xf numFmtId="0" fontId="9" fillId="4" borderId="69" xfId="0" applyFont="1" applyFill="1" applyBorder="1" applyAlignment="1">
      <alignment vertical="center"/>
    </xf>
    <xf numFmtId="0" fontId="9" fillId="4" borderId="68" xfId="0" applyFont="1" applyFill="1" applyBorder="1" applyAlignment="1">
      <alignment vertical="center"/>
    </xf>
    <xf numFmtId="0" fontId="9" fillId="4" borderId="70" xfId="0" applyFont="1" applyFill="1" applyBorder="1" applyAlignment="1">
      <alignment vertical="center"/>
    </xf>
    <xf numFmtId="0" fontId="3" fillId="20" borderId="23" xfId="0" applyFont="1" applyFill="1" applyBorder="1" applyAlignment="1">
      <alignment horizontal="left" vertical="center"/>
    </xf>
    <xf numFmtId="0" fontId="5" fillId="20" borderId="23" xfId="0" applyFont="1" applyFill="1" applyBorder="1" applyAlignment="1">
      <alignment vertical="center"/>
    </xf>
    <xf numFmtId="0" fontId="3" fillId="20" borderId="11" xfId="0" applyFont="1" applyFill="1" applyBorder="1" applyAlignment="1">
      <alignment vertical="center"/>
    </xf>
    <xf numFmtId="0" fontId="5" fillId="20" borderId="11" xfId="0" applyFont="1" applyFill="1" applyBorder="1" applyAlignment="1">
      <alignment vertical="center"/>
    </xf>
    <xf numFmtId="0" fontId="11" fillId="8" borderId="11" xfId="0" applyFont="1" applyFill="1" applyBorder="1" applyAlignment="1">
      <alignment horizontal="center" vertical="center"/>
    </xf>
    <xf numFmtId="0" fontId="0" fillId="8" borderId="11" xfId="0" applyFill="1" applyBorder="1" applyAlignment="1">
      <alignment vertical="center"/>
    </xf>
    <xf numFmtId="0" fontId="1" fillId="4" borderId="63" xfId="0" applyFont="1" applyFill="1" applyBorder="1" applyAlignment="1">
      <alignment horizontal="left" vertical="center"/>
    </xf>
    <xf numFmtId="0" fontId="1" fillId="0" borderId="66" xfId="0" applyFont="1" applyBorder="1" applyAlignment="1">
      <alignment vertical="center"/>
    </xf>
    <xf numFmtId="0" fontId="3" fillId="20" borderId="17" xfId="0" applyFont="1" applyFill="1" applyBorder="1" applyAlignment="1">
      <alignment horizontal="left" vertical="center"/>
    </xf>
    <xf numFmtId="0" fontId="5" fillId="20" borderId="17" xfId="0" applyFont="1" applyFill="1" applyBorder="1" applyAlignment="1">
      <alignment horizontal="left" vertical="center"/>
    </xf>
    <xf numFmtId="0" fontId="5" fillId="20" borderId="20" xfId="0" applyFont="1" applyFill="1" applyBorder="1" applyAlignment="1">
      <alignment vertical="center"/>
    </xf>
    <xf numFmtId="0" fontId="5" fillId="20" borderId="76" xfId="0" applyFont="1" applyFill="1" applyBorder="1" applyAlignment="1">
      <alignment vertical="center"/>
    </xf>
    <xf numFmtId="0" fontId="5" fillId="20" borderId="77" xfId="0" applyFont="1" applyFill="1" applyBorder="1" applyAlignment="1">
      <alignment vertical="center"/>
    </xf>
    <xf numFmtId="0" fontId="3" fillId="20" borderId="20" xfId="0" applyFont="1" applyFill="1" applyBorder="1" applyAlignment="1">
      <alignment horizontal="left" vertical="center"/>
    </xf>
    <xf numFmtId="0" fontId="0" fillId="20" borderId="77" xfId="0" applyFill="1" applyBorder="1" applyAlignment="1">
      <alignment horizontal="left" vertical="center"/>
    </xf>
    <xf numFmtId="0" fontId="1" fillId="22" borderId="18" xfId="0" applyFont="1" applyFill="1" applyBorder="1" applyAlignment="1">
      <alignment horizontal="left" vertical="center"/>
    </xf>
    <xf numFmtId="0" fontId="1" fillId="22" borderId="15" xfId="0" applyFont="1" applyFill="1" applyBorder="1" applyAlignment="1">
      <alignment horizontal="left" vertical="center"/>
    </xf>
    <xf numFmtId="0" fontId="13" fillId="22" borderId="54" xfId="0" applyFont="1" applyFill="1" applyBorder="1" applyAlignment="1">
      <alignment horizontal="center" vertical="center"/>
    </xf>
    <xf numFmtId="0" fontId="13" fillId="22" borderId="52" xfId="0" applyFont="1" applyFill="1" applyBorder="1" applyAlignment="1">
      <alignment horizontal="center" vertical="center"/>
    </xf>
    <xf numFmtId="0" fontId="13" fillId="22" borderId="39" xfId="0" applyFont="1" applyFill="1" applyBorder="1" applyAlignment="1">
      <alignment horizontal="center" vertical="center"/>
    </xf>
    <xf numFmtId="0" fontId="13" fillId="22" borderId="49" xfId="0" applyFont="1" applyFill="1" applyBorder="1" applyAlignment="1">
      <alignment horizontal="center" vertical="center"/>
    </xf>
    <xf numFmtId="0" fontId="43" fillId="20" borderId="19" xfId="0" applyFont="1" applyFill="1" applyBorder="1" applyAlignment="1">
      <alignment/>
    </xf>
    <xf numFmtId="0" fontId="43" fillId="20" borderId="17" xfId="0" applyFont="1" applyFill="1" applyBorder="1" applyAlignment="1">
      <alignment/>
    </xf>
    <xf numFmtId="0" fontId="13" fillId="22" borderId="69" xfId="0" applyFont="1" applyFill="1" applyBorder="1" applyAlignment="1">
      <alignment horizontal="center"/>
    </xf>
    <xf numFmtId="0" fontId="13" fillId="22" borderId="70" xfId="0" applyFont="1" applyFill="1" applyBorder="1" applyAlignment="1">
      <alignment horizontal="center"/>
    </xf>
    <xf numFmtId="0" fontId="4" fillId="20" borderId="65" xfId="0" applyFont="1" applyFill="1" applyBorder="1" applyAlignment="1">
      <alignment horizontal="left" vertical="center"/>
    </xf>
    <xf numFmtId="0" fontId="4" fillId="20" borderId="55" xfId="0" applyFont="1" applyFill="1" applyBorder="1" applyAlignment="1">
      <alignment horizontal="left" vertical="center"/>
    </xf>
    <xf numFmtId="0" fontId="4" fillId="20" borderId="52" xfId="0" applyFont="1" applyFill="1" applyBorder="1" applyAlignment="1">
      <alignment horizontal="left" vertical="center"/>
    </xf>
    <xf numFmtId="0" fontId="4" fillId="20" borderId="78" xfId="0" applyFont="1" applyFill="1" applyBorder="1" applyAlignment="1">
      <alignment horizontal="left" vertical="center"/>
    </xf>
    <xf numFmtId="0" fontId="4" fillId="20" borderId="30" xfId="0" applyFont="1" applyFill="1" applyBorder="1" applyAlignment="1">
      <alignment horizontal="left" vertical="center"/>
    </xf>
    <xf numFmtId="0" fontId="4" fillId="20" borderId="49" xfId="0" applyFont="1" applyFill="1" applyBorder="1" applyAlignment="1">
      <alignment horizontal="left" vertical="center"/>
    </xf>
    <xf numFmtId="0" fontId="3" fillId="20" borderId="64" xfId="0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3" fillId="20" borderId="15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0" fontId="3" fillId="4" borderId="73" xfId="0" applyFont="1" applyFill="1" applyBorder="1" applyAlignment="1">
      <alignment horizontal="center" vertical="center"/>
    </xf>
    <xf numFmtId="0" fontId="0" fillId="20" borderId="63" xfId="0" applyFill="1" applyBorder="1" applyAlignment="1">
      <alignment horizontal="left" vertical="center"/>
    </xf>
    <xf numFmtId="0" fontId="5" fillId="20" borderId="68" xfId="0" applyFont="1" applyFill="1" applyBorder="1" applyAlignment="1">
      <alignment horizontal="left" vertical="center"/>
    </xf>
    <xf numFmtId="0" fontId="1" fillId="20" borderId="17" xfId="0" applyFont="1" applyFill="1" applyBorder="1" applyAlignment="1">
      <alignment vertical="center"/>
    </xf>
    <xf numFmtId="0" fontId="11" fillId="8" borderId="54" xfId="0" applyFont="1" applyFill="1" applyBorder="1" applyAlignment="1">
      <alignment horizontal="center" vertical="center"/>
    </xf>
    <xf numFmtId="0" fontId="0" fillId="8" borderId="55" xfId="0" applyFill="1" applyBorder="1" applyAlignment="1">
      <alignment vertical="center"/>
    </xf>
    <xf numFmtId="0" fontId="0" fillId="8" borderId="52" xfId="0" applyFill="1" applyBorder="1" applyAlignment="1">
      <alignment vertical="center"/>
    </xf>
    <xf numFmtId="0" fontId="0" fillId="0" borderId="79" xfId="0" applyBorder="1" applyAlignment="1">
      <alignment/>
    </xf>
    <xf numFmtId="0" fontId="0" fillId="0" borderId="0" xfId="0" applyAlignment="1">
      <alignment/>
    </xf>
    <xf numFmtId="0" fontId="3" fillId="20" borderId="17" xfId="0" applyFont="1" applyFill="1" applyBorder="1" applyAlignment="1">
      <alignment vertical="center"/>
    </xf>
    <xf numFmtId="0" fontId="0" fillId="20" borderId="17" xfId="0" applyFill="1" applyBorder="1" applyAlignment="1">
      <alignment vertical="center"/>
    </xf>
    <xf numFmtId="0" fontId="5" fillId="20" borderId="27" xfId="0" applyFont="1" applyFill="1" applyBorder="1" applyAlignment="1">
      <alignment horizontal="left" vertical="center"/>
    </xf>
    <xf numFmtId="0" fontId="0" fillId="20" borderId="73" xfId="0" applyFill="1" applyBorder="1" applyAlignment="1">
      <alignment horizontal="left" vertical="center"/>
    </xf>
    <xf numFmtId="0" fontId="1" fillId="4" borderId="11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1" fillId="8" borderId="28" xfId="0" applyFont="1" applyFill="1" applyBorder="1" applyAlignment="1">
      <alignment vertical="center"/>
    </xf>
    <xf numFmtId="0" fontId="0" fillId="8" borderId="28" xfId="0" applyFont="1" applyFill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4" borderId="23" xfId="0" applyFont="1" applyFill="1" applyBorder="1" applyAlignment="1">
      <alignment vertical="center"/>
    </xf>
    <xf numFmtId="0" fontId="1" fillId="5" borderId="29" xfId="0" applyFont="1" applyFill="1" applyBorder="1" applyAlignment="1">
      <alignment vertical="center"/>
    </xf>
    <xf numFmtId="0" fontId="0" fillId="5" borderId="29" xfId="0" applyFont="1" applyFill="1" applyBorder="1" applyAlignment="1">
      <alignment vertical="center"/>
    </xf>
    <xf numFmtId="0" fontId="5" fillId="20" borderId="18" xfId="0" applyFont="1" applyFill="1" applyBorder="1" applyAlignment="1">
      <alignment horizontal="left" vertical="center"/>
    </xf>
    <xf numFmtId="0" fontId="3" fillId="21" borderId="12" xfId="0" applyFont="1" applyFill="1" applyBorder="1" applyAlignment="1">
      <alignment horizontal="left" vertical="center"/>
    </xf>
    <xf numFmtId="0" fontId="0" fillId="21" borderId="18" xfId="0" applyFill="1" applyBorder="1" applyAlignment="1">
      <alignment horizontal="left" vertical="center"/>
    </xf>
    <xf numFmtId="0" fontId="3" fillId="8" borderId="18" xfId="0" applyFont="1" applyFill="1" applyBorder="1" applyAlignment="1">
      <alignment horizontal="left" vertical="center"/>
    </xf>
    <xf numFmtId="0" fontId="0" fillId="8" borderId="18" xfId="0" applyFill="1" applyBorder="1" applyAlignment="1">
      <alignment horizontal="left" vertical="center"/>
    </xf>
    <xf numFmtId="0" fontId="1" fillId="4" borderId="73" xfId="0" applyFont="1" applyFill="1" applyBorder="1" applyAlignment="1">
      <alignment horizontal="left" vertical="center"/>
    </xf>
    <xf numFmtId="0" fontId="3" fillId="20" borderId="69" xfId="0" applyFont="1" applyFill="1" applyBorder="1" applyAlignment="1">
      <alignment vertical="center"/>
    </xf>
    <xf numFmtId="0" fontId="3" fillId="20" borderId="7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8" borderId="12" xfId="0" applyFont="1" applyFill="1" applyBorder="1" applyAlignment="1">
      <alignment vertical="center"/>
    </xf>
    <xf numFmtId="0" fontId="1" fillId="8" borderId="15" xfId="0" applyFont="1" applyFill="1" applyBorder="1" applyAlignment="1">
      <alignment vertical="center"/>
    </xf>
    <xf numFmtId="0" fontId="3" fillId="20" borderId="11" xfId="0" applyFont="1" applyFill="1" applyBorder="1" applyAlignment="1">
      <alignment horizontal="left" vertical="center"/>
    </xf>
    <xf numFmtId="0" fontId="0" fillId="20" borderId="11" xfId="0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20" borderId="12" xfId="0" applyFill="1" applyBorder="1" applyAlignment="1">
      <alignment/>
    </xf>
    <xf numFmtId="0" fontId="0" fillId="20" borderId="15" xfId="0" applyFill="1" applyBorder="1" applyAlignment="1">
      <alignment/>
    </xf>
    <xf numFmtId="0" fontId="11" fillId="8" borderId="12" xfId="0" applyFont="1" applyFill="1" applyBorder="1" applyAlignment="1">
      <alignment horizontal="center" vertical="center"/>
    </xf>
    <xf numFmtId="0" fontId="0" fillId="8" borderId="15" xfId="0" applyFill="1" applyBorder="1" applyAlignment="1">
      <alignment vertical="center"/>
    </xf>
    <xf numFmtId="0" fontId="3" fillId="20" borderId="65" xfId="0" applyFont="1" applyFill="1" applyBorder="1" applyAlignment="1">
      <alignment horizontal="left" vertical="center"/>
    </xf>
    <xf numFmtId="0" fontId="5" fillId="20" borderId="55" xfId="0" applyFont="1" applyFill="1" applyBorder="1" applyAlignment="1">
      <alignment horizontal="left" vertical="center"/>
    </xf>
    <xf numFmtId="0" fontId="1" fillId="22" borderId="12" xfId="0" applyFont="1" applyFill="1" applyBorder="1" applyAlignment="1">
      <alignment vertical="center"/>
    </xf>
    <xf numFmtId="0" fontId="0" fillId="22" borderId="18" xfId="0" applyFont="1" applyFill="1" applyBorder="1" applyAlignment="1">
      <alignment vertical="center"/>
    </xf>
    <xf numFmtId="0" fontId="0" fillId="22" borderId="15" xfId="0" applyFont="1" applyFill="1" applyBorder="1" applyAlignment="1">
      <alignment vertical="center"/>
    </xf>
    <xf numFmtId="0" fontId="1" fillId="22" borderId="54" xfId="0" applyFont="1" applyFill="1" applyBorder="1" applyAlignment="1">
      <alignment vertical="center" wrapText="1" shrinkToFit="1"/>
    </xf>
    <xf numFmtId="0" fontId="0" fillId="0" borderId="55" xfId="0" applyBorder="1" applyAlignment="1">
      <alignment vertical="center" wrapText="1" shrinkToFit="1"/>
    </xf>
    <xf numFmtId="0" fontId="0" fillId="0" borderId="52" xfId="0" applyBorder="1" applyAlignment="1">
      <alignment vertical="center" wrapText="1" shrinkToFit="1"/>
    </xf>
    <xf numFmtId="0" fontId="0" fillId="0" borderId="80" xfId="0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0" borderId="50" xfId="0" applyBorder="1" applyAlignment="1">
      <alignment vertical="center" wrapText="1" shrinkToFit="1"/>
    </xf>
    <xf numFmtId="0" fontId="1" fillId="8" borderId="63" xfId="0" applyFont="1" applyFill="1" applyBorder="1" applyAlignment="1">
      <alignment horizontal="left" vertical="center" shrinkToFit="1"/>
    </xf>
    <xf numFmtId="0" fontId="1" fillId="8" borderId="73" xfId="0" applyFont="1" applyFill="1" applyBorder="1" applyAlignment="1">
      <alignment horizontal="left" vertical="center" shrinkToFit="1"/>
    </xf>
    <xf numFmtId="0" fontId="0" fillId="22" borderId="63" xfId="0" applyFont="1" applyFill="1" applyBorder="1" applyAlignment="1">
      <alignment horizontal="left" vertical="center" shrinkToFit="1"/>
    </xf>
    <xf numFmtId="0" fontId="0" fillId="22" borderId="73" xfId="0" applyFill="1" applyBorder="1" applyAlignment="1">
      <alignment horizontal="left" vertical="center" shrinkToFit="1"/>
    </xf>
    <xf numFmtId="0" fontId="0" fillId="4" borderId="55" xfId="0" applyFont="1" applyFill="1" applyBorder="1" applyAlignment="1">
      <alignment horizontal="left" vertical="center"/>
    </xf>
    <xf numFmtId="0" fontId="0" fillId="4" borderId="52" xfId="0" applyFill="1" applyBorder="1" applyAlignment="1">
      <alignment horizontal="left" vertical="center"/>
    </xf>
    <xf numFmtId="0" fontId="37" fillId="0" borderId="0" xfId="0" applyFont="1" applyAlignment="1">
      <alignment horizontal="center"/>
    </xf>
    <xf numFmtId="0" fontId="0" fillId="0" borderId="76" xfId="0" applyBorder="1" applyAlignment="1">
      <alignment/>
    </xf>
    <xf numFmtId="0" fontId="0" fillId="8" borderId="55" xfId="0" applyFill="1" applyBorder="1" applyAlignment="1">
      <alignment/>
    </xf>
    <xf numFmtId="0" fontId="0" fillId="8" borderId="52" xfId="0" applyFill="1" applyBorder="1" applyAlignment="1">
      <alignment/>
    </xf>
    <xf numFmtId="0" fontId="5" fillId="20" borderId="11" xfId="0" applyFont="1" applyFill="1" applyBorder="1" applyAlignment="1">
      <alignment vertical="center"/>
    </xf>
    <xf numFmtId="0" fontId="5" fillId="20" borderId="17" xfId="0" applyFont="1" applyFill="1" applyBorder="1" applyAlignment="1">
      <alignment vertical="center"/>
    </xf>
    <xf numFmtId="0" fontId="0" fillId="8" borderId="15" xfId="0" applyFill="1" applyBorder="1" applyAlignment="1">
      <alignment horizontal="center" vertical="center"/>
    </xf>
    <xf numFmtId="0" fontId="1" fillId="22" borderId="54" xfId="0" applyFont="1" applyFill="1" applyBorder="1" applyAlignment="1">
      <alignment vertical="center" wrapText="1"/>
    </xf>
    <xf numFmtId="0" fontId="0" fillId="0" borderId="55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0" xfId="0" applyBorder="1" applyAlignment="1">
      <alignment vertical="center"/>
    </xf>
    <xf numFmtId="0" fontId="0" fillId="20" borderId="26" xfId="0" applyFill="1" applyBorder="1" applyAlignment="1">
      <alignment horizontal="left" vertical="center"/>
    </xf>
    <xf numFmtId="0" fontId="1" fillId="8" borderId="63" xfId="0" applyFont="1" applyFill="1" applyBorder="1" applyAlignment="1">
      <alignment horizontal="left" vertical="center"/>
    </xf>
    <xf numFmtId="0" fontId="1" fillId="8" borderId="73" xfId="0" applyFont="1" applyFill="1" applyBorder="1" applyAlignment="1">
      <alignment horizontal="left" vertical="center"/>
    </xf>
    <xf numFmtId="0" fontId="0" fillId="8" borderId="12" xfId="0" applyFont="1" applyFill="1" applyBorder="1" applyAlignment="1" applyProtection="1">
      <alignment/>
      <protection locked="0"/>
    </xf>
    <xf numFmtId="0" fontId="0" fillId="8" borderId="41" xfId="0" applyFont="1" applyFill="1" applyBorder="1" applyAlignment="1" applyProtection="1">
      <alignment/>
      <protection locked="0"/>
    </xf>
    <xf numFmtId="0" fontId="0" fillId="4" borderId="46" xfId="0" applyFill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/>
      <protection locked="0"/>
    </xf>
    <xf numFmtId="0" fontId="0" fillId="8" borderId="11" xfId="0" applyFill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8" borderId="37" xfId="0" applyFill="1" applyBorder="1" applyAlignment="1" applyProtection="1">
      <alignment/>
      <protection locked="0"/>
    </xf>
    <xf numFmtId="0" fontId="0" fillId="0" borderId="37" xfId="0" applyBorder="1" applyAlignment="1">
      <alignment/>
    </xf>
    <xf numFmtId="0" fontId="0" fillId="4" borderId="34" xfId="0" applyFill="1" applyBorder="1" applyAlignment="1" applyProtection="1">
      <alignment horizontal="left" vertical="top"/>
      <protection locked="0"/>
    </xf>
    <xf numFmtId="0" fontId="0" fillId="8" borderId="12" xfId="0" applyFill="1" applyBorder="1" applyAlignment="1" applyProtection="1">
      <alignment/>
      <protection locked="0"/>
    </xf>
    <xf numFmtId="0" fontId="0" fillId="0" borderId="41" xfId="0" applyBorder="1" applyAlignment="1">
      <alignment/>
    </xf>
    <xf numFmtId="0" fontId="5" fillId="21" borderId="34" xfId="0" applyFont="1" applyFill="1" applyBorder="1" applyAlignment="1">
      <alignment horizontal="center"/>
    </xf>
    <xf numFmtId="0" fontId="5" fillId="21" borderId="12" xfId="0" applyFont="1" applyFill="1" applyBorder="1" applyAlignment="1">
      <alignment horizontal="center"/>
    </xf>
    <xf numFmtId="0" fontId="0" fillId="8" borderId="31" xfId="0" applyFill="1" applyBorder="1" applyAlignment="1" applyProtection="1">
      <alignment/>
      <protection locked="0"/>
    </xf>
    <xf numFmtId="0" fontId="0" fillId="8" borderId="61" xfId="0" applyFill="1" applyBorder="1" applyAlignment="1" applyProtection="1">
      <alignment/>
      <protection locked="0"/>
    </xf>
    <xf numFmtId="0" fontId="0" fillId="8" borderId="31" xfId="0" applyFont="1" applyFill="1" applyBorder="1" applyAlignment="1" applyProtection="1">
      <alignment/>
      <protection locked="0"/>
    </xf>
    <xf numFmtId="0" fontId="0" fillId="8" borderId="56" xfId="0" applyFont="1" applyFill="1" applyBorder="1" applyAlignment="1" applyProtection="1">
      <alignment/>
      <protection locked="0"/>
    </xf>
    <xf numFmtId="0" fontId="0" fillId="22" borderId="27" xfId="0" applyFill="1" applyBorder="1" applyAlignment="1">
      <alignment horizontal="center"/>
    </xf>
    <xf numFmtId="0" fontId="0" fillId="22" borderId="63" xfId="0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26" xfId="0" applyBorder="1" applyAlignment="1">
      <alignment horizontal="center"/>
    </xf>
    <xf numFmtId="0" fontId="39" fillId="20" borderId="81" xfId="0" applyFont="1" applyFill="1" applyBorder="1" applyAlignment="1">
      <alignment horizontal="center"/>
    </xf>
    <xf numFmtId="0" fontId="39" fillId="20" borderId="79" xfId="0" applyFont="1" applyFill="1" applyBorder="1" applyAlignment="1">
      <alignment horizontal="center"/>
    </xf>
    <xf numFmtId="0" fontId="40" fillId="0" borderId="82" xfId="0" applyFont="1" applyBorder="1" applyAlignment="1">
      <alignment horizontal="center"/>
    </xf>
    <xf numFmtId="0" fontId="40" fillId="0" borderId="78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0" borderId="49" xfId="0" applyFont="1" applyBorder="1" applyAlignment="1">
      <alignment horizontal="center"/>
    </xf>
    <xf numFmtId="0" fontId="41" fillId="4" borderId="83" xfId="0" applyFont="1" applyFill="1" applyBorder="1" applyAlignment="1" applyProtection="1">
      <alignment horizontal="center"/>
      <protection locked="0"/>
    </xf>
    <xf numFmtId="0" fontId="41" fillId="0" borderId="82" xfId="0" applyFont="1" applyBorder="1" applyAlignment="1" applyProtection="1">
      <alignment horizontal="center"/>
      <protection locked="0"/>
    </xf>
    <xf numFmtId="0" fontId="41" fillId="0" borderId="39" xfId="0" applyFont="1" applyBorder="1" applyAlignment="1" applyProtection="1">
      <alignment horizontal="center"/>
      <protection locked="0"/>
    </xf>
    <xf numFmtId="0" fontId="41" fillId="0" borderId="49" xfId="0" applyFont="1" applyBorder="1" applyAlignment="1" applyProtection="1">
      <alignment horizontal="center"/>
      <protection locked="0"/>
    </xf>
    <xf numFmtId="0" fontId="0" fillId="4" borderId="54" xfId="0" applyFill="1" applyBorder="1" applyAlignment="1" applyProtection="1">
      <alignment/>
      <protection locked="0"/>
    </xf>
    <xf numFmtId="0" fontId="0" fillId="22" borderId="31" xfId="0" applyFill="1" applyBorder="1" applyAlignment="1" applyProtection="1">
      <alignment horizontal="center"/>
      <protection/>
    </xf>
    <xf numFmtId="0" fontId="0" fillId="22" borderId="61" xfId="0" applyFill="1" applyBorder="1" applyAlignment="1" applyProtection="1">
      <alignment horizontal="center"/>
      <protection/>
    </xf>
    <xf numFmtId="0" fontId="0" fillId="0" borderId="61" xfId="0" applyBorder="1" applyAlignment="1" applyProtection="1">
      <alignment horizontal="center"/>
      <protection/>
    </xf>
    <xf numFmtId="0" fontId="0" fillId="0" borderId="56" xfId="0" applyBorder="1" applyAlignment="1" applyProtection="1">
      <alignment horizontal="center"/>
      <protection/>
    </xf>
    <xf numFmtId="0" fontId="5" fillId="20" borderId="11" xfId="0" applyFont="1" applyFill="1" applyBorder="1" applyAlignment="1" applyProtection="1">
      <alignment/>
      <protection/>
    </xf>
    <xf numFmtId="0" fontId="5" fillId="20" borderId="17" xfId="0" applyFont="1" applyFill="1" applyBorder="1" applyAlignment="1" applyProtection="1">
      <alignment/>
      <protection/>
    </xf>
    <xf numFmtId="0" fontId="42" fillId="22" borderId="12" xfId="0" applyFont="1" applyFill="1" applyBorder="1" applyAlignment="1" applyProtection="1">
      <alignment horizontal="center"/>
      <protection/>
    </xf>
    <xf numFmtId="0" fontId="42" fillId="22" borderId="15" xfId="0" applyFont="1" applyFill="1" applyBorder="1" applyAlignment="1" applyProtection="1">
      <alignment horizontal="center"/>
      <protection/>
    </xf>
    <xf numFmtId="0" fontId="42" fillId="22" borderId="69" xfId="0" applyFont="1" applyFill="1" applyBorder="1" applyAlignment="1" applyProtection="1">
      <alignment horizontal="center"/>
      <protection/>
    </xf>
    <xf numFmtId="0" fontId="42" fillId="22" borderId="70" xfId="0" applyFont="1" applyFill="1" applyBorder="1" applyAlignment="1" applyProtection="1">
      <alignment horizontal="center"/>
      <protection/>
    </xf>
    <xf numFmtId="0" fontId="5" fillId="20" borderId="46" xfId="0" applyFont="1" applyFill="1" applyBorder="1" applyAlignment="1" applyProtection="1">
      <alignment/>
      <protection/>
    </xf>
    <xf numFmtId="0" fontId="5" fillId="20" borderId="28" xfId="0" applyFont="1" applyFill="1" applyBorder="1" applyAlignment="1" applyProtection="1">
      <alignment/>
      <protection/>
    </xf>
    <xf numFmtId="0" fontId="42" fillId="22" borderId="39" xfId="0" applyFont="1" applyFill="1" applyBorder="1" applyAlignment="1" applyProtection="1">
      <alignment horizontal="center"/>
      <protection/>
    </xf>
    <xf numFmtId="0" fontId="42" fillId="22" borderId="49" xfId="0" applyFont="1" applyFill="1" applyBorder="1" applyAlignment="1" applyProtection="1">
      <alignment horizontal="center"/>
      <protection/>
    </xf>
    <xf numFmtId="0" fontId="42" fillId="22" borderId="69" xfId="0" applyFont="1" applyFill="1" applyBorder="1" applyAlignment="1" applyProtection="1">
      <alignment horizontal="center" vertical="center"/>
      <protection/>
    </xf>
    <xf numFmtId="0" fontId="42" fillId="22" borderId="70" xfId="0" applyFont="1" applyFill="1" applyBorder="1" applyAlignment="1" applyProtection="1">
      <alignment horizontal="center" vertical="center"/>
      <protection/>
    </xf>
    <xf numFmtId="0" fontId="41" fillId="4" borderId="60" xfId="0" applyFont="1" applyFill="1" applyBorder="1" applyAlignment="1" applyProtection="1">
      <alignment horizontal="center"/>
      <protection locked="0"/>
    </xf>
    <xf numFmtId="0" fontId="41" fillId="0" borderId="59" xfId="0" applyFont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/>
      <protection locked="0"/>
    </xf>
    <xf numFmtId="0" fontId="5" fillId="20" borderId="84" xfId="0" applyFont="1" applyFill="1" applyBorder="1" applyAlignment="1">
      <alignment/>
    </xf>
    <xf numFmtId="0" fontId="5" fillId="20" borderId="85" xfId="0" applyFont="1" applyFill="1" applyBorder="1" applyAlignment="1">
      <alignment/>
    </xf>
    <xf numFmtId="0" fontId="5" fillId="20" borderId="20" xfId="0" applyFont="1" applyFill="1" applyBorder="1" applyAlignment="1" applyProtection="1">
      <alignment/>
      <protection/>
    </xf>
    <xf numFmtId="0" fontId="5" fillId="20" borderId="0" xfId="0" applyFont="1" applyFill="1" applyBorder="1" applyAlignment="1" applyProtection="1">
      <alignment/>
      <protection/>
    </xf>
    <xf numFmtId="0" fontId="5" fillId="20" borderId="76" xfId="0" applyFont="1" applyFill="1" applyBorder="1" applyAlignment="1" applyProtection="1">
      <alignment/>
      <protection/>
    </xf>
    <xf numFmtId="0" fontId="5" fillId="20" borderId="77" xfId="0" applyFont="1" applyFill="1" applyBorder="1" applyAlignment="1" applyProtection="1">
      <alignment/>
      <protection/>
    </xf>
    <xf numFmtId="0" fontId="0" fillId="0" borderId="85" xfId="0" applyBorder="1" applyAlignment="1">
      <alignment/>
    </xf>
    <xf numFmtId="0" fontId="5" fillId="20" borderId="86" xfId="0" applyFont="1" applyFill="1" applyBorder="1" applyAlignment="1" applyProtection="1">
      <alignment vertical="center"/>
      <protection/>
    </xf>
    <xf numFmtId="0" fontId="0" fillId="0" borderId="68" xfId="0" applyBorder="1" applyAlignment="1" applyProtection="1">
      <alignment vertical="center"/>
      <protection/>
    </xf>
    <xf numFmtId="0" fontId="5" fillId="20" borderId="87" xfId="0" applyFont="1" applyFill="1" applyBorder="1" applyAlignment="1">
      <alignment/>
    </xf>
    <xf numFmtId="0" fontId="5" fillId="20" borderId="88" xfId="0" applyFont="1" applyFill="1" applyBorder="1" applyAlignment="1">
      <alignment/>
    </xf>
    <xf numFmtId="0" fontId="0" fillId="0" borderId="0" xfId="0" applyAlignment="1">
      <alignment vertical="top" wrapText="1"/>
    </xf>
    <xf numFmtId="0" fontId="5" fillId="26" borderId="12" xfId="0" applyFont="1" applyFill="1" applyBorder="1" applyAlignment="1">
      <alignment/>
    </xf>
    <xf numFmtId="0" fontId="5" fillId="26" borderId="18" xfId="0" applyFont="1" applyFill="1" applyBorder="1" applyAlignment="1">
      <alignment/>
    </xf>
    <xf numFmtId="0" fontId="5" fillId="26" borderId="1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28575</xdr:rowOff>
    </xdr:from>
    <xdr:to>
      <xdr:col>11</xdr:col>
      <xdr:colOff>600075</xdr:colOff>
      <xdr:row>17</xdr:row>
      <xdr:rowOff>142875</xdr:rowOff>
    </xdr:to>
    <xdr:pic>
      <xdr:nvPicPr>
        <xdr:cNvPr id="1" name="Picture 9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67150"/>
          <a:ext cx="4648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28575</xdr:rowOff>
    </xdr:from>
    <xdr:to>
      <xdr:col>11</xdr:col>
      <xdr:colOff>600075</xdr:colOff>
      <xdr:row>28</xdr:row>
      <xdr:rowOff>142875</xdr:rowOff>
    </xdr:to>
    <xdr:pic>
      <xdr:nvPicPr>
        <xdr:cNvPr id="2" name="Picture 9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67475"/>
          <a:ext cx="4648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28575</xdr:rowOff>
    </xdr:from>
    <xdr:to>
      <xdr:col>11</xdr:col>
      <xdr:colOff>600075</xdr:colOff>
      <xdr:row>39</xdr:row>
      <xdr:rowOff>142875</xdr:rowOff>
    </xdr:to>
    <xdr:pic>
      <xdr:nvPicPr>
        <xdr:cNvPr id="3" name="Picture 9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20175"/>
          <a:ext cx="4648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28575</xdr:rowOff>
    </xdr:from>
    <xdr:to>
      <xdr:col>11</xdr:col>
      <xdr:colOff>600075</xdr:colOff>
      <xdr:row>52</xdr:row>
      <xdr:rowOff>142875</xdr:rowOff>
    </xdr:to>
    <xdr:pic>
      <xdr:nvPicPr>
        <xdr:cNvPr id="4" name="Picture 9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39625"/>
          <a:ext cx="4648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28575</xdr:rowOff>
    </xdr:from>
    <xdr:to>
      <xdr:col>11</xdr:col>
      <xdr:colOff>600075</xdr:colOff>
      <xdr:row>63</xdr:row>
      <xdr:rowOff>142875</xdr:rowOff>
    </xdr:to>
    <xdr:pic>
      <xdr:nvPicPr>
        <xdr:cNvPr id="5" name="Picture 9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39950"/>
          <a:ext cx="4648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28575</xdr:rowOff>
    </xdr:from>
    <xdr:to>
      <xdr:col>11</xdr:col>
      <xdr:colOff>600075</xdr:colOff>
      <xdr:row>74</xdr:row>
      <xdr:rowOff>142875</xdr:rowOff>
    </xdr:to>
    <xdr:pic>
      <xdr:nvPicPr>
        <xdr:cNvPr id="6" name="Picture 9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40275"/>
          <a:ext cx="4648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28575</xdr:rowOff>
    </xdr:from>
    <xdr:to>
      <xdr:col>11</xdr:col>
      <xdr:colOff>600075</xdr:colOff>
      <xdr:row>85</xdr:row>
      <xdr:rowOff>142875</xdr:rowOff>
    </xdr:to>
    <xdr:pic>
      <xdr:nvPicPr>
        <xdr:cNvPr id="7" name="Picture 9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164425"/>
          <a:ext cx="4648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28575</xdr:rowOff>
    </xdr:from>
    <xdr:to>
      <xdr:col>11</xdr:col>
      <xdr:colOff>600075</xdr:colOff>
      <xdr:row>17</xdr:row>
      <xdr:rowOff>142875</xdr:rowOff>
    </xdr:to>
    <xdr:pic>
      <xdr:nvPicPr>
        <xdr:cNvPr id="8" name="Picture 9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67150"/>
          <a:ext cx="4648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28575</xdr:rowOff>
    </xdr:from>
    <xdr:to>
      <xdr:col>11</xdr:col>
      <xdr:colOff>600075</xdr:colOff>
      <xdr:row>28</xdr:row>
      <xdr:rowOff>142875</xdr:rowOff>
    </xdr:to>
    <xdr:pic>
      <xdr:nvPicPr>
        <xdr:cNvPr id="9" name="Picture 9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67475"/>
          <a:ext cx="4648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28575</xdr:rowOff>
    </xdr:from>
    <xdr:to>
      <xdr:col>11</xdr:col>
      <xdr:colOff>600075</xdr:colOff>
      <xdr:row>39</xdr:row>
      <xdr:rowOff>142875</xdr:rowOff>
    </xdr:to>
    <xdr:pic>
      <xdr:nvPicPr>
        <xdr:cNvPr id="10" name="Picture 9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20175"/>
          <a:ext cx="4648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28575</xdr:rowOff>
    </xdr:from>
    <xdr:to>
      <xdr:col>11</xdr:col>
      <xdr:colOff>600075</xdr:colOff>
      <xdr:row>52</xdr:row>
      <xdr:rowOff>142875</xdr:rowOff>
    </xdr:to>
    <xdr:pic>
      <xdr:nvPicPr>
        <xdr:cNvPr id="11" name="Picture 9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39625"/>
          <a:ext cx="4648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28575</xdr:rowOff>
    </xdr:from>
    <xdr:to>
      <xdr:col>11</xdr:col>
      <xdr:colOff>600075</xdr:colOff>
      <xdr:row>63</xdr:row>
      <xdr:rowOff>142875</xdr:rowOff>
    </xdr:to>
    <xdr:pic>
      <xdr:nvPicPr>
        <xdr:cNvPr id="12" name="Picture 9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39950"/>
          <a:ext cx="4648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28575</xdr:rowOff>
    </xdr:from>
    <xdr:to>
      <xdr:col>11</xdr:col>
      <xdr:colOff>600075</xdr:colOff>
      <xdr:row>74</xdr:row>
      <xdr:rowOff>142875</xdr:rowOff>
    </xdr:to>
    <xdr:pic>
      <xdr:nvPicPr>
        <xdr:cNvPr id="13" name="Picture 9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40275"/>
          <a:ext cx="4648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28575</xdr:rowOff>
    </xdr:from>
    <xdr:to>
      <xdr:col>11</xdr:col>
      <xdr:colOff>600075</xdr:colOff>
      <xdr:row>85</xdr:row>
      <xdr:rowOff>142875</xdr:rowOff>
    </xdr:to>
    <xdr:pic>
      <xdr:nvPicPr>
        <xdr:cNvPr id="14" name="Picture 9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164425"/>
          <a:ext cx="4648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28575</xdr:rowOff>
    </xdr:from>
    <xdr:to>
      <xdr:col>11</xdr:col>
      <xdr:colOff>600075</xdr:colOff>
      <xdr:row>17</xdr:row>
      <xdr:rowOff>142875</xdr:rowOff>
    </xdr:to>
    <xdr:pic>
      <xdr:nvPicPr>
        <xdr:cNvPr id="15" name="Picture 9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67150"/>
          <a:ext cx="4648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28575</xdr:rowOff>
    </xdr:from>
    <xdr:to>
      <xdr:col>11</xdr:col>
      <xdr:colOff>600075</xdr:colOff>
      <xdr:row>28</xdr:row>
      <xdr:rowOff>142875</xdr:rowOff>
    </xdr:to>
    <xdr:pic>
      <xdr:nvPicPr>
        <xdr:cNvPr id="16" name="Picture 9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67475"/>
          <a:ext cx="4648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28575</xdr:rowOff>
    </xdr:from>
    <xdr:to>
      <xdr:col>11</xdr:col>
      <xdr:colOff>600075</xdr:colOff>
      <xdr:row>39</xdr:row>
      <xdr:rowOff>142875</xdr:rowOff>
    </xdr:to>
    <xdr:pic>
      <xdr:nvPicPr>
        <xdr:cNvPr id="17" name="Picture 9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20175"/>
          <a:ext cx="4648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28575</xdr:rowOff>
    </xdr:from>
    <xdr:to>
      <xdr:col>11</xdr:col>
      <xdr:colOff>600075</xdr:colOff>
      <xdr:row>52</xdr:row>
      <xdr:rowOff>142875</xdr:rowOff>
    </xdr:to>
    <xdr:pic>
      <xdr:nvPicPr>
        <xdr:cNvPr id="18" name="Picture 9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39625"/>
          <a:ext cx="4648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28575</xdr:rowOff>
    </xdr:from>
    <xdr:to>
      <xdr:col>11</xdr:col>
      <xdr:colOff>600075</xdr:colOff>
      <xdr:row>63</xdr:row>
      <xdr:rowOff>142875</xdr:rowOff>
    </xdr:to>
    <xdr:pic>
      <xdr:nvPicPr>
        <xdr:cNvPr id="19" name="Picture 9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39950"/>
          <a:ext cx="4648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28575</xdr:rowOff>
    </xdr:from>
    <xdr:to>
      <xdr:col>11</xdr:col>
      <xdr:colOff>600075</xdr:colOff>
      <xdr:row>74</xdr:row>
      <xdr:rowOff>142875</xdr:rowOff>
    </xdr:to>
    <xdr:pic>
      <xdr:nvPicPr>
        <xdr:cNvPr id="20" name="Picture 9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40275"/>
          <a:ext cx="4648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28575</xdr:rowOff>
    </xdr:from>
    <xdr:to>
      <xdr:col>11</xdr:col>
      <xdr:colOff>600075</xdr:colOff>
      <xdr:row>85</xdr:row>
      <xdr:rowOff>142875</xdr:rowOff>
    </xdr:to>
    <xdr:pic>
      <xdr:nvPicPr>
        <xdr:cNvPr id="21" name="Picture 9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164425"/>
          <a:ext cx="4648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28575</xdr:rowOff>
    </xdr:from>
    <xdr:to>
      <xdr:col>11</xdr:col>
      <xdr:colOff>600075</xdr:colOff>
      <xdr:row>17</xdr:row>
      <xdr:rowOff>142875</xdr:rowOff>
    </xdr:to>
    <xdr:pic>
      <xdr:nvPicPr>
        <xdr:cNvPr id="22" name="Picture 9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67150"/>
          <a:ext cx="4648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28575</xdr:rowOff>
    </xdr:from>
    <xdr:to>
      <xdr:col>11</xdr:col>
      <xdr:colOff>600075</xdr:colOff>
      <xdr:row>28</xdr:row>
      <xdr:rowOff>142875</xdr:rowOff>
    </xdr:to>
    <xdr:pic>
      <xdr:nvPicPr>
        <xdr:cNvPr id="23" name="Picture 9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67475"/>
          <a:ext cx="4648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28575</xdr:rowOff>
    </xdr:from>
    <xdr:to>
      <xdr:col>11</xdr:col>
      <xdr:colOff>600075</xdr:colOff>
      <xdr:row>17</xdr:row>
      <xdr:rowOff>142875</xdr:rowOff>
    </xdr:to>
    <xdr:pic>
      <xdr:nvPicPr>
        <xdr:cNvPr id="24" name="Picture 9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67150"/>
          <a:ext cx="4648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28575</xdr:rowOff>
    </xdr:from>
    <xdr:to>
      <xdr:col>11</xdr:col>
      <xdr:colOff>600075</xdr:colOff>
      <xdr:row>28</xdr:row>
      <xdr:rowOff>142875</xdr:rowOff>
    </xdr:to>
    <xdr:pic>
      <xdr:nvPicPr>
        <xdr:cNvPr id="25" name="Picture 9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67475"/>
          <a:ext cx="4648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28575</xdr:rowOff>
    </xdr:from>
    <xdr:to>
      <xdr:col>11</xdr:col>
      <xdr:colOff>600075</xdr:colOff>
      <xdr:row>39</xdr:row>
      <xdr:rowOff>142875</xdr:rowOff>
    </xdr:to>
    <xdr:pic>
      <xdr:nvPicPr>
        <xdr:cNvPr id="26" name="Picture 9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20175"/>
          <a:ext cx="4648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28575</xdr:rowOff>
    </xdr:from>
    <xdr:to>
      <xdr:col>11</xdr:col>
      <xdr:colOff>600075</xdr:colOff>
      <xdr:row>52</xdr:row>
      <xdr:rowOff>142875</xdr:rowOff>
    </xdr:to>
    <xdr:pic>
      <xdr:nvPicPr>
        <xdr:cNvPr id="27" name="Picture 9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39625"/>
          <a:ext cx="4648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28575</xdr:rowOff>
    </xdr:from>
    <xdr:to>
      <xdr:col>11</xdr:col>
      <xdr:colOff>600075</xdr:colOff>
      <xdr:row>63</xdr:row>
      <xdr:rowOff>142875</xdr:rowOff>
    </xdr:to>
    <xdr:pic>
      <xdr:nvPicPr>
        <xdr:cNvPr id="28" name="Picture 9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39950"/>
          <a:ext cx="4648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28575</xdr:rowOff>
    </xdr:from>
    <xdr:to>
      <xdr:col>11</xdr:col>
      <xdr:colOff>600075</xdr:colOff>
      <xdr:row>74</xdr:row>
      <xdr:rowOff>142875</xdr:rowOff>
    </xdr:to>
    <xdr:pic>
      <xdr:nvPicPr>
        <xdr:cNvPr id="29" name="Picture 9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40275"/>
          <a:ext cx="4648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28575</xdr:rowOff>
    </xdr:from>
    <xdr:to>
      <xdr:col>11</xdr:col>
      <xdr:colOff>600075</xdr:colOff>
      <xdr:row>85</xdr:row>
      <xdr:rowOff>142875</xdr:rowOff>
    </xdr:to>
    <xdr:pic>
      <xdr:nvPicPr>
        <xdr:cNvPr id="30" name="Picture 9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164425"/>
          <a:ext cx="4648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28575</xdr:rowOff>
    </xdr:from>
    <xdr:to>
      <xdr:col>11</xdr:col>
      <xdr:colOff>600075</xdr:colOff>
      <xdr:row>17</xdr:row>
      <xdr:rowOff>142875</xdr:rowOff>
    </xdr:to>
    <xdr:pic>
      <xdr:nvPicPr>
        <xdr:cNvPr id="31" name="Picture 9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67150"/>
          <a:ext cx="4648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28575</xdr:rowOff>
    </xdr:from>
    <xdr:to>
      <xdr:col>11</xdr:col>
      <xdr:colOff>600075</xdr:colOff>
      <xdr:row>28</xdr:row>
      <xdr:rowOff>142875</xdr:rowOff>
    </xdr:to>
    <xdr:pic>
      <xdr:nvPicPr>
        <xdr:cNvPr id="32" name="Picture 9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67475"/>
          <a:ext cx="4648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28575</xdr:rowOff>
    </xdr:from>
    <xdr:to>
      <xdr:col>11</xdr:col>
      <xdr:colOff>600075</xdr:colOff>
      <xdr:row>39</xdr:row>
      <xdr:rowOff>142875</xdr:rowOff>
    </xdr:to>
    <xdr:pic>
      <xdr:nvPicPr>
        <xdr:cNvPr id="33" name="Picture 9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20175"/>
          <a:ext cx="4648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28575</xdr:rowOff>
    </xdr:from>
    <xdr:to>
      <xdr:col>11</xdr:col>
      <xdr:colOff>600075</xdr:colOff>
      <xdr:row>52</xdr:row>
      <xdr:rowOff>142875</xdr:rowOff>
    </xdr:to>
    <xdr:pic>
      <xdr:nvPicPr>
        <xdr:cNvPr id="34" name="Picture 9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39625"/>
          <a:ext cx="4648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28575</xdr:rowOff>
    </xdr:from>
    <xdr:to>
      <xdr:col>11</xdr:col>
      <xdr:colOff>600075</xdr:colOff>
      <xdr:row>63</xdr:row>
      <xdr:rowOff>142875</xdr:rowOff>
    </xdr:to>
    <xdr:pic>
      <xdr:nvPicPr>
        <xdr:cNvPr id="35" name="Picture 9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39950"/>
          <a:ext cx="4648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28575</xdr:rowOff>
    </xdr:from>
    <xdr:to>
      <xdr:col>11</xdr:col>
      <xdr:colOff>600075</xdr:colOff>
      <xdr:row>74</xdr:row>
      <xdr:rowOff>142875</xdr:rowOff>
    </xdr:to>
    <xdr:pic>
      <xdr:nvPicPr>
        <xdr:cNvPr id="36" name="Picture 9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40275"/>
          <a:ext cx="4648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28575</xdr:rowOff>
    </xdr:from>
    <xdr:to>
      <xdr:col>11</xdr:col>
      <xdr:colOff>600075</xdr:colOff>
      <xdr:row>85</xdr:row>
      <xdr:rowOff>142875</xdr:rowOff>
    </xdr:to>
    <xdr:pic>
      <xdr:nvPicPr>
        <xdr:cNvPr id="37" name="Picture 9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164425"/>
          <a:ext cx="4648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28575</xdr:rowOff>
    </xdr:from>
    <xdr:to>
      <xdr:col>11</xdr:col>
      <xdr:colOff>600075</xdr:colOff>
      <xdr:row>17</xdr:row>
      <xdr:rowOff>142875</xdr:rowOff>
    </xdr:to>
    <xdr:pic>
      <xdr:nvPicPr>
        <xdr:cNvPr id="38" name="Picture 9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67150"/>
          <a:ext cx="4648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11</xdr:col>
      <xdr:colOff>571500</xdr:colOff>
      <xdr:row>18</xdr:row>
      <xdr:rowOff>123825</xdr:rowOff>
    </xdr:to>
    <xdr:pic>
      <xdr:nvPicPr>
        <xdr:cNvPr id="39" name="Picture 9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38575"/>
          <a:ext cx="4619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28575</xdr:rowOff>
    </xdr:from>
    <xdr:to>
      <xdr:col>11</xdr:col>
      <xdr:colOff>600075</xdr:colOff>
      <xdr:row>17</xdr:row>
      <xdr:rowOff>200025</xdr:rowOff>
    </xdr:to>
    <xdr:pic>
      <xdr:nvPicPr>
        <xdr:cNvPr id="40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67150"/>
          <a:ext cx="464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28575</xdr:rowOff>
    </xdr:from>
    <xdr:to>
      <xdr:col>11</xdr:col>
      <xdr:colOff>600075</xdr:colOff>
      <xdr:row>28</xdr:row>
      <xdr:rowOff>209550</xdr:rowOff>
    </xdr:to>
    <xdr:pic>
      <xdr:nvPicPr>
        <xdr:cNvPr id="41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67475"/>
          <a:ext cx="4648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28575</xdr:rowOff>
    </xdr:from>
    <xdr:to>
      <xdr:col>11</xdr:col>
      <xdr:colOff>600075</xdr:colOff>
      <xdr:row>39</xdr:row>
      <xdr:rowOff>142875</xdr:rowOff>
    </xdr:to>
    <xdr:pic>
      <xdr:nvPicPr>
        <xdr:cNvPr id="42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20175"/>
          <a:ext cx="4648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28575</xdr:rowOff>
    </xdr:from>
    <xdr:to>
      <xdr:col>11</xdr:col>
      <xdr:colOff>600075</xdr:colOff>
      <xdr:row>52</xdr:row>
      <xdr:rowOff>209550</xdr:rowOff>
    </xdr:to>
    <xdr:pic>
      <xdr:nvPicPr>
        <xdr:cNvPr id="43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39625"/>
          <a:ext cx="4648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28575</xdr:rowOff>
    </xdr:from>
    <xdr:to>
      <xdr:col>11</xdr:col>
      <xdr:colOff>600075</xdr:colOff>
      <xdr:row>63</xdr:row>
      <xdr:rowOff>219075</xdr:rowOff>
    </xdr:to>
    <xdr:pic>
      <xdr:nvPicPr>
        <xdr:cNvPr id="44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39950"/>
          <a:ext cx="4648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28575</xdr:rowOff>
    </xdr:from>
    <xdr:to>
      <xdr:col>11</xdr:col>
      <xdr:colOff>600075</xdr:colOff>
      <xdr:row>74</xdr:row>
      <xdr:rowOff>142875</xdr:rowOff>
    </xdr:to>
    <xdr:pic>
      <xdr:nvPicPr>
        <xdr:cNvPr id="45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40275"/>
          <a:ext cx="4648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28575</xdr:rowOff>
    </xdr:from>
    <xdr:to>
      <xdr:col>14</xdr:col>
      <xdr:colOff>561975</xdr:colOff>
      <xdr:row>44</xdr:row>
      <xdr:rowOff>238125</xdr:rowOff>
    </xdr:to>
    <xdr:pic>
      <xdr:nvPicPr>
        <xdr:cNvPr id="4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010775"/>
          <a:ext cx="6438900" cy="704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28575</xdr:rowOff>
    </xdr:from>
    <xdr:to>
      <xdr:col>11</xdr:col>
      <xdr:colOff>600075</xdr:colOff>
      <xdr:row>39</xdr:row>
      <xdr:rowOff>209550</xdr:rowOff>
    </xdr:to>
    <xdr:pic>
      <xdr:nvPicPr>
        <xdr:cNvPr id="47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20175"/>
          <a:ext cx="4648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28575</xdr:rowOff>
    </xdr:from>
    <xdr:to>
      <xdr:col>11</xdr:col>
      <xdr:colOff>600075</xdr:colOff>
      <xdr:row>52</xdr:row>
      <xdr:rowOff>209550</xdr:rowOff>
    </xdr:to>
    <xdr:pic>
      <xdr:nvPicPr>
        <xdr:cNvPr id="48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39625"/>
          <a:ext cx="4648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28575</xdr:rowOff>
    </xdr:from>
    <xdr:to>
      <xdr:col>11</xdr:col>
      <xdr:colOff>600075</xdr:colOff>
      <xdr:row>63</xdr:row>
      <xdr:rowOff>209550</xdr:rowOff>
    </xdr:to>
    <xdr:pic>
      <xdr:nvPicPr>
        <xdr:cNvPr id="49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39950"/>
          <a:ext cx="4648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28575</xdr:rowOff>
    </xdr:from>
    <xdr:to>
      <xdr:col>11</xdr:col>
      <xdr:colOff>600075</xdr:colOff>
      <xdr:row>74</xdr:row>
      <xdr:rowOff>209550</xdr:rowOff>
    </xdr:to>
    <xdr:pic>
      <xdr:nvPicPr>
        <xdr:cNvPr id="50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40275"/>
          <a:ext cx="4648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14</xdr:col>
      <xdr:colOff>561975</xdr:colOff>
      <xdr:row>3</xdr:row>
      <xdr:rowOff>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64293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9</xdr:row>
      <xdr:rowOff>19050</xdr:rowOff>
    </xdr:from>
    <xdr:to>
      <xdr:col>8</xdr:col>
      <xdr:colOff>295275</xdr:colOff>
      <xdr:row>9</xdr:row>
      <xdr:rowOff>171450</xdr:rowOff>
    </xdr:to>
    <xdr:pic>
      <xdr:nvPicPr>
        <xdr:cNvPr id="2" name="Picture 2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847850"/>
          <a:ext cx="2800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27</xdr:row>
      <xdr:rowOff>19050</xdr:rowOff>
    </xdr:from>
    <xdr:to>
      <xdr:col>8</xdr:col>
      <xdr:colOff>295275</xdr:colOff>
      <xdr:row>27</xdr:row>
      <xdr:rowOff>171450</xdr:rowOff>
    </xdr:to>
    <xdr:pic>
      <xdr:nvPicPr>
        <xdr:cNvPr id="3" name="Picture 2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600700"/>
          <a:ext cx="2800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19050</xdr:rowOff>
    </xdr:from>
    <xdr:to>
      <xdr:col>8</xdr:col>
      <xdr:colOff>295275</xdr:colOff>
      <xdr:row>36</xdr:row>
      <xdr:rowOff>171450</xdr:rowOff>
    </xdr:to>
    <xdr:pic>
      <xdr:nvPicPr>
        <xdr:cNvPr id="4" name="Picture 2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7477125"/>
          <a:ext cx="2800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45</xdr:row>
      <xdr:rowOff>19050</xdr:rowOff>
    </xdr:from>
    <xdr:to>
      <xdr:col>8</xdr:col>
      <xdr:colOff>295275</xdr:colOff>
      <xdr:row>45</xdr:row>
      <xdr:rowOff>171450</xdr:rowOff>
    </xdr:to>
    <xdr:pic>
      <xdr:nvPicPr>
        <xdr:cNvPr id="5" name="Picture 2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353550"/>
          <a:ext cx="2800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</xdr:row>
      <xdr:rowOff>19050</xdr:rowOff>
    </xdr:from>
    <xdr:to>
      <xdr:col>8</xdr:col>
      <xdr:colOff>295275</xdr:colOff>
      <xdr:row>18</xdr:row>
      <xdr:rowOff>171450</xdr:rowOff>
    </xdr:to>
    <xdr:pic>
      <xdr:nvPicPr>
        <xdr:cNvPr id="6" name="Picture 2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724275"/>
          <a:ext cx="2800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28575</xdr:rowOff>
    </xdr:from>
    <xdr:to>
      <xdr:col>11</xdr:col>
      <xdr:colOff>600075</xdr:colOff>
      <xdr:row>10</xdr:row>
      <xdr:rowOff>200025</xdr:rowOff>
    </xdr:to>
    <xdr:pic>
      <xdr:nvPicPr>
        <xdr:cNvPr id="1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9775"/>
          <a:ext cx="464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93</xdr:row>
      <xdr:rowOff>19050</xdr:rowOff>
    </xdr:from>
    <xdr:to>
      <xdr:col>8</xdr:col>
      <xdr:colOff>295275</xdr:colOff>
      <xdr:row>93</xdr:row>
      <xdr:rowOff>171450</xdr:rowOff>
    </xdr:to>
    <xdr:pic>
      <xdr:nvPicPr>
        <xdr:cNvPr id="2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0955000"/>
          <a:ext cx="2800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102</xdr:row>
      <xdr:rowOff>19050</xdr:rowOff>
    </xdr:from>
    <xdr:to>
      <xdr:col>8</xdr:col>
      <xdr:colOff>295275</xdr:colOff>
      <xdr:row>102</xdr:row>
      <xdr:rowOff>171450</xdr:rowOff>
    </xdr:to>
    <xdr:pic>
      <xdr:nvPicPr>
        <xdr:cNvPr id="3" name="Picture 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2783800"/>
          <a:ext cx="2800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111</xdr:row>
      <xdr:rowOff>19050</xdr:rowOff>
    </xdr:from>
    <xdr:to>
      <xdr:col>8</xdr:col>
      <xdr:colOff>295275</xdr:colOff>
      <xdr:row>111</xdr:row>
      <xdr:rowOff>171450</xdr:rowOff>
    </xdr:to>
    <xdr:pic>
      <xdr:nvPicPr>
        <xdr:cNvPr id="4" name="Picture 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4517350"/>
          <a:ext cx="2800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28575</xdr:rowOff>
    </xdr:from>
    <xdr:to>
      <xdr:col>11</xdr:col>
      <xdr:colOff>600075</xdr:colOff>
      <xdr:row>21</xdr:row>
      <xdr:rowOff>200025</xdr:rowOff>
    </xdr:to>
    <xdr:pic>
      <xdr:nvPicPr>
        <xdr:cNvPr id="5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57725"/>
          <a:ext cx="464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28575</xdr:rowOff>
    </xdr:from>
    <xdr:to>
      <xdr:col>11</xdr:col>
      <xdr:colOff>600075</xdr:colOff>
      <xdr:row>32</xdr:row>
      <xdr:rowOff>200025</xdr:rowOff>
    </xdr:to>
    <xdr:pic>
      <xdr:nvPicPr>
        <xdr:cNvPr id="6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05675"/>
          <a:ext cx="464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28575</xdr:rowOff>
    </xdr:from>
    <xdr:to>
      <xdr:col>11</xdr:col>
      <xdr:colOff>600075</xdr:colOff>
      <xdr:row>55</xdr:row>
      <xdr:rowOff>200025</xdr:rowOff>
    </xdr:to>
    <xdr:pic>
      <xdr:nvPicPr>
        <xdr:cNvPr id="7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96725"/>
          <a:ext cx="464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28575</xdr:rowOff>
    </xdr:from>
    <xdr:to>
      <xdr:col>11</xdr:col>
      <xdr:colOff>600075</xdr:colOff>
      <xdr:row>66</xdr:row>
      <xdr:rowOff>200025</xdr:rowOff>
    </xdr:to>
    <xdr:pic>
      <xdr:nvPicPr>
        <xdr:cNvPr id="8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44675"/>
          <a:ext cx="464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1047750</xdr:colOff>
      <xdr:row>125</xdr:row>
      <xdr:rowOff>123825</xdr:rowOff>
    </xdr:from>
    <xdr:ext cx="190500" cy="257175"/>
    <xdr:sp>
      <xdr:nvSpPr>
        <xdr:cNvPr id="1" name="TextBox 1"/>
        <xdr:cNvSpPr txBox="1">
          <a:spLocks noChangeArrowheads="1"/>
        </xdr:cNvSpPr>
      </xdr:nvSpPr>
      <xdr:spPr>
        <a:xfrm>
          <a:off x="1047750" y="204978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N58"/>
  <sheetViews>
    <sheetView workbookViewId="0" topLeftCell="A1">
      <selection activeCell="A46" sqref="A46:J46"/>
    </sheetView>
  </sheetViews>
  <sheetFormatPr defaultColWidth="9.140625" defaultRowHeight="12.75"/>
  <cols>
    <col min="3" max="10" width="4.57421875" style="0" customWidth="1"/>
  </cols>
  <sheetData>
    <row r="1" spans="1:14" ht="15.75" thickBot="1">
      <c r="A1" s="89" t="s">
        <v>1003</v>
      </c>
      <c r="B1" s="222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4"/>
    </row>
    <row r="2" spans="1:14" ht="12.75" customHeight="1" thickTop="1">
      <c r="A2" s="205" t="s">
        <v>992</v>
      </c>
      <c r="B2" s="206"/>
      <c r="C2" s="207"/>
      <c r="D2" s="211"/>
      <c r="E2" s="212"/>
      <c r="F2" s="215" t="s">
        <v>997</v>
      </c>
      <c r="G2" s="216"/>
      <c r="H2" s="217"/>
      <c r="I2" s="220"/>
      <c r="J2" s="221"/>
      <c r="K2" s="221"/>
      <c r="L2" s="103" t="s">
        <v>993</v>
      </c>
      <c r="M2" s="203"/>
      <c r="N2" s="204"/>
    </row>
    <row r="3" spans="1:14" ht="12.75" customHeight="1">
      <c r="A3" s="208"/>
      <c r="B3" s="209"/>
      <c r="C3" s="210"/>
      <c r="D3" s="213"/>
      <c r="E3" s="214"/>
      <c r="F3" s="178" t="s">
        <v>996</v>
      </c>
      <c r="G3" s="178"/>
      <c r="H3" s="178"/>
      <c r="I3" s="166"/>
      <c r="J3" s="166"/>
      <c r="K3" s="166"/>
      <c r="L3" s="166"/>
      <c r="M3" s="122"/>
      <c r="N3" s="123"/>
    </row>
    <row r="4" spans="1:14" ht="12.75">
      <c r="A4" s="160" t="s">
        <v>1011</v>
      </c>
      <c r="B4" s="183"/>
      <c r="C4" s="183"/>
      <c r="D4" s="183"/>
      <c r="E4" s="183"/>
      <c r="F4" s="225"/>
      <c r="G4" s="125"/>
      <c r="H4" s="125"/>
      <c r="I4" s="125"/>
      <c r="J4" s="125"/>
      <c r="K4" s="125"/>
      <c r="L4" s="125"/>
      <c r="M4" s="125"/>
      <c r="N4" s="126"/>
    </row>
    <row r="5" spans="1:14" ht="12.75">
      <c r="A5" s="106" t="s">
        <v>1009</v>
      </c>
      <c r="B5" s="196"/>
      <c r="C5" s="197"/>
      <c r="D5" s="198"/>
      <c r="E5" s="189" t="s">
        <v>1304</v>
      </c>
      <c r="F5" s="191"/>
      <c r="G5" s="129"/>
      <c r="H5" s="199" t="s">
        <v>1303</v>
      </c>
      <c r="I5" s="200"/>
      <c r="J5" s="129"/>
      <c r="K5" s="82" t="s">
        <v>1302</v>
      </c>
      <c r="L5" s="130"/>
      <c r="M5" s="82" t="s">
        <v>1010</v>
      </c>
      <c r="N5" s="131"/>
    </row>
    <row r="6" spans="1:14" ht="12.75">
      <c r="A6" s="106" t="s">
        <v>1009</v>
      </c>
      <c r="B6" s="196"/>
      <c r="C6" s="197"/>
      <c r="D6" s="198"/>
      <c r="E6" s="189" t="s">
        <v>1304</v>
      </c>
      <c r="F6" s="191"/>
      <c r="G6" s="129"/>
      <c r="H6" s="199" t="s">
        <v>1303</v>
      </c>
      <c r="I6" s="200"/>
      <c r="J6" s="129"/>
      <c r="K6" s="82" t="s">
        <v>1302</v>
      </c>
      <c r="L6" s="130"/>
      <c r="M6" s="82" t="s">
        <v>1010</v>
      </c>
      <c r="N6" s="131"/>
    </row>
    <row r="7" spans="1:14" ht="12.75">
      <c r="A7" s="106" t="s">
        <v>1009</v>
      </c>
      <c r="B7" s="196"/>
      <c r="C7" s="197"/>
      <c r="D7" s="198"/>
      <c r="E7" s="189" t="s">
        <v>1304</v>
      </c>
      <c r="F7" s="191"/>
      <c r="G7" s="129"/>
      <c r="H7" s="199" t="s">
        <v>1303</v>
      </c>
      <c r="I7" s="200"/>
      <c r="J7" s="129"/>
      <c r="K7" s="82" t="s">
        <v>1302</v>
      </c>
      <c r="L7" s="130"/>
      <c r="M7" s="82" t="s">
        <v>1010</v>
      </c>
      <c r="N7" s="131"/>
    </row>
    <row r="8" spans="1:14" ht="12.75">
      <c r="A8" s="201" t="s">
        <v>3</v>
      </c>
      <c r="B8" s="202"/>
      <c r="C8" s="202"/>
      <c r="D8" s="202"/>
      <c r="E8" s="202"/>
      <c r="F8" s="202"/>
      <c r="G8" s="127"/>
      <c r="H8" s="178" t="s">
        <v>0</v>
      </c>
      <c r="I8" s="164"/>
      <c r="J8" s="164"/>
      <c r="K8" s="164"/>
      <c r="L8" s="164"/>
      <c r="M8" s="132"/>
      <c r="N8" s="128"/>
    </row>
    <row r="9" spans="1:14" ht="12.75">
      <c r="A9" s="186" t="s">
        <v>1297</v>
      </c>
      <c r="B9" s="164"/>
      <c r="C9" s="164"/>
      <c r="D9" s="133"/>
      <c r="E9" s="127"/>
      <c r="F9" s="127"/>
      <c r="G9" s="127"/>
      <c r="H9" s="178" t="s">
        <v>1</v>
      </c>
      <c r="I9" s="164"/>
      <c r="J9" s="164"/>
      <c r="K9" s="164"/>
      <c r="L9" s="164"/>
      <c r="M9" s="218"/>
      <c r="N9" s="219"/>
    </row>
    <row r="10" spans="1:14" ht="12.75">
      <c r="A10" s="186" t="s">
        <v>1298</v>
      </c>
      <c r="B10" s="164"/>
      <c r="C10" s="164"/>
      <c r="D10" s="133"/>
      <c r="E10" s="127"/>
      <c r="F10" s="127"/>
      <c r="G10" s="127"/>
      <c r="H10" s="127"/>
      <c r="I10" s="127"/>
      <c r="J10" s="127"/>
      <c r="K10" s="127"/>
      <c r="L10" s="127"/>
      <c r="M10" s="127"/>
      <c r="N10" s="128"/>
    </row>
    <row r="11" spans="1:14" ht="12.75">
      <c r="A11" s="106" t="s">
        <v>1307</v>
      </c>
      <c r="B11" s="196"/>
      <c r="C11" s="197"/>
      <c r="D11" s="198"/>
      <c r="E11" s="189" t="s">
        <v>1304</v>
      </c>
      <c r="F11" s="191"/>
      <c r="G11" s="129"/>
      <c r="H11" s="199" t="s">
        <v>1303</v>
      </c>
      <c r="I11" s="200"/>
      <c r="J11" s="129"/>
      <c r="K11" s="82" t="s">
        <v>1302</v>
      </c>
      <c r="L11" s="130"/>
      <c r="M11" s="82" t="s">
        <v>1010</v>
      </c>
      <c r="N11" s="131"/>
    </row>
    <row r="12" spans="1:14" ht="12.75">
      <c r="A12" s="153" t="s">
        <v>4</v>
      </c>
      <c r="B12" s="187"/>
      <c r="C12" s="187"/>
      <c r="D12" s="187"/>
      <c r="E12" s="187"/>
      <c r="F12" s="188"/>
      <c r="G12" s="189" t="s">
        <v>1299</v>
      </c>
      <c r="H12" s="190"/>
      <c r="I12" s="190"/>
      <c r="J12" s="190"/>
      <c r="K12" s="190"/>
      <c r="L12" s="191"/>
      <c r="M12" s="129"/>
      <c r="N12" s="121"/>
    </row>
    <row r="13" spans="1:14" ht="12.75">
      <c r="A13" s="192" t="s">
        <v>738</v>
      </c>
      <c r="B13" s="193"/>
      <c r="C13" s="79" t="s">
        <v>739</v>
      </c>
      <c r="D13" s="133"/>
      <c r="E13" s="80" t="s">
        <v>740</v>
      </c>
      <c r="F13" s="133"/>
      <c r="G13" s="80" t="s">
        <v>741</v>
      </c>
      <c r="H13" s="133"/>
      <c r="I13" s="80" t="s">
        <v>742</v>
      </c>
      <c r="J13" s="136"/>
      <c r="K13" s="182" t="s">
        <v>748</v>
      </c>
      <c r="L13" s="161"/>
      <c r="M13" s="162"/>
      <c r="N13" s="138"/>
    </row>
    <row r="14" spans="1:14" ht="12.75">
      <c r="A14" s="194"/>
      <c r="B14" s="195"/>
      <c r="C14" s="75" t="s">
        <v>743</v>
      </c>
      <c r="D14" s="134"/>
      <c r="E14" s="81" t="s">
        <v>744</v>
      </c>
      <c r="F14" s="134"/>
      <c r="G14" s="81" t="s">
        <v>745</v>
      </c>
      <c r="H14" s="134"/>
      <c r="I14" s="81" t="s">
        <v>746</v>
      </c>
      <c r="J14" s="135"/>
      <c r="K14" s="178" t="s">
        <v>756</v>
      </c>
      <c r="L14" s="178"/>
      <c r="M14" s="178"/>
      <c r="N14" s="138"/>
    </row>
    <row r="15" spans="1:14" ht="12.75">
      <c r="A15" s="179" t="s">
        <v>998</v>
      </c>
      <c r="B15" s="161"/>
      <c r="C15" s="162"/>
      <c r="D15" s="135"/>
      <c r="E15" s="178" t="s">
        <v>999</v>
      </c>
      <c r="F15" s="164"/>
      <c r="G15" s="164"/>
      <c r="H15" s="164"/>
      <c r="I15" s="164"/>
      <c r="J15" s="137"/>
      <c r="K15" s="182" t="s">
        <v>524</v>
      </c>
      <c r="L15" s="162"/>
      <c r="M15" s="134"/>
      <c r="N15" s="121"/>
    </row>
    <row r="16" spans="1:14" ht="12.75">
      <c r="A16" s="153" t="s">
        <v>758</v>
      </c>
      <c r="B16" s="183"/>
      <c r="C16" s="183"/>
      <c r="D16" s="183"/>
      <c r="E16" s="184"/>
      <c r="F16" s="185"/>
      <c r="G16" s="127"/>
      <c r="H16" s="127"/>
      <c r="I16" s="127"/>
      <c r="J16" s="127"/>
      <c r="K16" s="78" t="s">
        <v>752</v>
      </c>
      <c r="L16" s="78"/>
      <c r="M16" s="78"/>
      <c r="N16" s="139"/>
    </row>
    <row r="17" spans="1:14" ht="12.75">
      <c r="A17" s="179" t="s">
        <v>757</v>
      </c>
      <c r="B17" s="161"/>
      <c r="C17" s="161"/>
      <c r="D17" s="161"/>
      <c r="E17" s="176"/>
      <c r="F17" s="175"/>
      <c r="G17" s="178" t="s">
        <v>1308</v>
      </c>
      <c r="H17" s="178"/>
      <c r="I17" s="178"/>
      <c r="J17" s="135"/>
      <c r="K17" s="178" t="s">
        <v>6</v>
      </c>
      <c r="L17" s="164"/>
      <c r="M17" s="164"/>
      <c r="N17" s="140"/>
    </row>
    <row r="18" spans="1:14" ht="12.75">
      <c r="A18" s="153" t="s">
        <v>749</v>
      </c>
      <c r="B18" s="180"/>
      <c r="C18" s="180"/>
      <c r="D18" s="180"/>
      <c r="E18" s="180"/>
      <c r="F18" s="181"/>
      <c r="G18" s="127"/>
      <c r="H18" s="127"/>
      <c r="I18" s="127"/>
      <c r="J18" s="127"/>
      <c r="K18" s="178" t="s">
        <v>755</v>
      </c>
      <c r="L18" s="178"/>
      <c r="M18" s="178"/>
      <c r="N18" s="139"/>
    </row>
    <row r="19" spans="1:14" ht="12.75">
      <c r="A19" s="179" t="s">
        <v>751</v>
      </c>
      <c r="B19" s="161"/>
      <c r="C19" s="161"/>
      <c r="D19" s="162"/>
      <c r="E19" s="133"/>
      <c r="F19" s="178" t="s">
        <v>754</v>
      </c>
      <c r="G19" s="178"/>
      <c r="H19" s="178"/>
      <c r="I19" s="134"/>
      <c r="J19" s="127"/>
      <c r="K19" s="127"/>
      <c r="L19" s="127"/>
      <c r="M19" s="127"/>
      <c r="N19" s="128"/>
    </row>
    <row r="20" spans="1:14" ht="12.75">
      <c r="A20" s="179" t="s">
        <v>750</v>
      </c>
      <c r="B20" s="161"/>
      <c r="C20" s="161"/>
      <c r="D20" s="162"/>
      <c r="E20" s="141"/>
      <c r="F20" s="127"/>
      <c r="G20" s="127"/>
      <c r="H20" s="127"/>
      <c r="I20" s="127"/>
      <c r="J20" s="127"/>
      <c r="K20" s="127"/>
      <c r="L20" s="127"/>
      <c r="M20" s="127"/>
      <c r="N20" s="128"/>
    </row>
    <row r="21" spans="1:14" ht="12.75">
      <c r="A21" s="163" t="s">
        <v>753</v>
      </c>
      <c r="B21" s="178"/>
      <c r="C21" s="178"/>
      <c r="D21" s="164"/>
      <c r="E21" s="134"/>
      <c r="F21" s="125"/>
      <c r="G21" s="125"/>
      <c r="H21" s="125"/>
      <c r="I21" s="125"/>
      <c r="J21" s="125"/>
      <c r="K21" s="178" t="s">
        <v>1300</v>
      </c>
      <c r="L21" s="159"/>
      <c r="M21" s="159"/>
      <c r="N21" s="139"/>
    </row>
    <row r="22" spans="1:14" ht="12.75">
      <c r="A22" s="160" t="s">
        <v>532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8"/>
      <c r="L22" s="154" t="s">
        <v>1001</v>
      </c>
      <c r="M22" s="155"/>
      <c r="N22" s="156"/>
    </row>
    <row r="23" spans="1:14" ht="12.75">
      <c r="A23" s="173"/>
      <c r="B23" s="174"/>
      <c r="C23" s="174"/>
      <c r="D23" s="174"/>
      <c r="E23" s="174"/>
      <c r="F23" s="174"/>
      <c r="G23" s="174"/>
      <c r="H23" s="174"/>
      <c r="I23" s="174"/>
      <c r="J23" s="174"/>
      <c r="K23" s="175"/>
      <c r="L23" s="176"/>
      <c r="M23" s="174"/>
      <c r="N23" s="177"/>
    </row>
    <row r="24" spans="1:14" ht="12.75">
      <c r="A24" s="173"/>
      <c r="B24" s="174"/>
      <c r="C24" s="174"/>
      <c r="D24" s="174"/>
      <c r="E24" s="174"/>
      <c r="F24" s="174"/>
      <c r="G24" s="174"/>
      <c r="H24" s="174"/>
      <c r="I24" s="174"/>
      <c r="J24" s="174"/>
      <c r="K24" s="175"/>
      <c r="L24" s="176"/>
      <c r="M24" s="174"/>
      <c r="N24" s="177"/>
    </row>
    <row r="25" spans="1:14" ht="12.75">
      <c r="A25" s="173"/>
      <c r="B25" s="174"/>
      <c r="C25" s="174"/>
      <c r="D25" s="174"/>
      <c r="E25" s="174"/>
      <c r="F25" s="174"/>
      <c r="G25" s="174"/>
      <c r="H25" s="174"/>
      <c r="I25" s="174"/>
      <c r="J25" s="174"/>
      <c r="K25" s="175"/>
      <c r="L25" s="176"/>
      <c r="M25" s="174"/>
      <c r="N25" s="177"/>
    </row>
    <row r="26" spans="1:14" ht="12.75">
      <c r="A26" s="173"/>
      <c r="B26" s="174"/>
      <c r="C26" s="174"/>
      <c r="D26" s="174"/>
      <c r="E26" s="174"/>
      <c r="F26" s="174"/>
      <c r="G26" s="174"/>
      <c r="H26" s="174"/>
      <c r="I26" s="174"/>
      <c r="J26" s="174"/>
      <c r="K26" s="175"/>
      <c r="L26" s="176"/>
      <c r="M26" s="174"/>
      <c r="N26" s="177"/>
    </row>
    <row r="27" spans="1:14" ht="12.75">
      <c r="A27" s="173"/>
      <c r="B27" s="174"/>
      <c r="C27" s="174"/>
      <c r="D27" s="174"/>
      <c r="E27" s="174"/>
      <c r="F27" s="174"/>
      <c r="G27" s="174"/>
      <c r="H27" s="174"/>
      <c r="I27" s="174"/>
      <c r="J27" s="174"/>
      <c r="K27" s="175"/>
      <c r="L27" s="176"/>
      <c r="M27" s="174"/>
      <c r="N27" s="177"/>
    </row>
    <row r="28" spans="1:14" ht="12.75">
      <c r="A28" s="165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7"/>
    </row>
    <row r="29" spans="1:14" ht="13.5" thickBot="1">
      <c r="A29" s="168" t="s">
        <v>1296</v>
      </c>
      <c r="B29" s="169"/>
      <c r="C29" s="170"/>
      <c r="D29" s="170"/>
      <c r="E29" s="170"/>
      <c r="F29" s="171"/>
      <c r="G29" s="171"/>
      <c r="H29" s="172"/>
      <c r="I29" s="172"/>
      <c r="J29" s="143"/>
      <c r="K29" s="113" t="s">
        <v>1000</v>
      </c>
      <c r="L29" s="113"/>
      <c r="M29" s="114"/>
      <c r="N29" s="142"/>
    </row>
    <row r="30" spans="1:14" ht="16.5" thickBot="1" thickTop="1">
      <c r="A30" s="124"/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</row>
    <row r="31" spans="1:14" ht="12.75" customHeight="1" thickTop="1">
      <c r="A31" s="205" t="s">
        <v>992</v>
      </c>
      <c r="B31" s="206"/>
      <c r="C31" s="207"/>
      <c r="D31" s="211"/>
      <c r="E31" s="212"/>
      <c r="F31" s="215" t="s">
        <v>997</v>
      </c>
      <c r="G31" s="216"/>
      <c r="H31" s="217"/>
      <c r="I31" s="220"/>
      <c r="J31" s="221"/>
      <c r="K31" s="221"/>
      <c r="L31" s="103" t="s">
        <v>993</v>
      </c>
      <c r="M31" s="203"/>
      <c r="N31" s="204"/>
    </row>
    <row r="32" spans="1:14" ht="12.75" customHeight="1">
      <c r="A32" s="208"/>
      <c r="B32" s="209"/>
      <c r="C32" s="210"/>
      <c r="D32" s="213"/>
      <c r="E32" s="214"/>
      <c r="F32" s="178" t="s">
        <v>996</v>
      </c>
      <c r="G32" s="178"/>
      <c r="H32" s="178"/>
      <c r="I32" s="166"/>
      <c r="J32" s="166"/>
      <c r="K32" s="166"/>
      <c r="L32" s="166"/>
      <c r="M32" s="122"/>
      <c r="N32" s="123"/>
    </row>
    <row r="33" spans="1:14" ht="12.75">
      <c r="A33" s="160" t="s">
        <v>1011</v>
      </c>
      <c r="B33" s="183"/>
      <c r="C33" s="183"/>
      <c r="D33" s="183"/>
      <c r="E33" s="183"/>
      <c r="F33" s="225"/>
      <c r="G33" s="125"/>
      <c r="H33" s="125"/>
      <c r="I33" s="125"/>
      <c r="J33" s="125"/>
      <c r="K33" s="125"/>
      <c r="L33" s="125"/>
      <c r="M33" s="125"/>
      <c r="N33" s="126"/>
    </row>
    <row r="34" spans="1:14" ht="12.75">
      <c r="A34" s="106" t="s">
        <v>1009</v>
      </c>
      <c r="B34" s="196"/>
      <c r="C34" s="197"/>
      <c r="D34" s="198"/>
      <c r="E34" s="189" t="s">
        <v>1304</v>
      </c>
      <c r="F34" s="191"/>
      <c r="G34" s="129"/>
      <c r="H34" s="199" t="s">
        <v>1303</v>
      </c>
      <c r="I34" s="200"/>
      <c r="J34" s="129"/>
      <c r="K34" s="82" t="s">
        <v>1302</v>
      </c>
      <c r="L34" s="130"/>
      <c r="M34" s="82" t="s">
        <v>1010</v>
      </c>
      <c r="N34" s="131"/>
    </row>
    <row r="35" spans="1:14" ht="12.75">
      <c r="A35" s="106" t="s">
        <v>1009</v>
      </c>
      <c r="B35" s="196"/>
      <c r="C35" s="197"/>
      <c r="D35" s="198"/>
      <c r="E35" s="189" t="s">
        <v>1304</v>
      </c>
      <c r="F35" s="191"/>
      <c r="G35" s="129"/>
      <c r="H35" s="199" t="s">
        <v>1303</v>
      </c>
      <c r="I35" s="200"/>
      <c r="J35" s="129"/>
      <c r="K35" s="82" t="s">
        <v>1302</v>
      </c>
      <c r="L35" s="130"/>
      <c r="M35" s="82" t="s">
        <v>1010</v>
      </c>
      <c r="N35" s="131"/>
    </row>
    <row r="36" spans="1:14" ht="12.75">
      <c r="A36" s="106" t="s">
        <v>1009</v>
      </c>
      <c r="B36" s="196"/>
      <c r="C36" s="197"/>
      <c r="D36" s="198"/>
      <c r="E36" s="189" t="s">
        <v>1304</v>
      </c>
      <c r="F36" s="191"/>
      <c r="G36" s="129"/>
      <c r="H36" s="199" t="s">
        <v>1303</v>
      </c>
      <c r="I36" s="200"/>
      <c r="J36" s="129"/>
      <c r="K36" s="82" t="s">
        <v>1302</v>
      </c>
      <c r="L36" s="130"/>
      <c r="M36" s="82" t="s">
        <v>1010</v>
      </c>
      <c r="N36" s="131"/>
    </row>
    <row r="37" spans="1:14" ht="12.75">
      <c r="A37" s="201" t="s">
        <v>3</v>
      </c>
      <c r="B37" s="202"/>
      <c r="C37" s="202"/>
      <c r="D37" s="202"/>
      <c r="E37" s="202"/>
      <c r="F37" s="202"/>
      <c r="G37" s="127"/>
      <c r="H37" s="178" t="s">
        <v>0</v>
      </c>
      <c r="I37" s="164"/>
      <c r="J37" s="164"/>
      <c r="K37" s="164"/>
      <c r="L37" s="164"/>
      <c r="M37" s="132"/>
      <c r="N37" s="128"/>
    </row>
    <row r="38" spans="1:14" ht="12.75">
      <c r="A38" s="186" t="s">
        <v>1297</v>
      </c>
      <c r="B38" s="164"/>
      <c r="C38" s="164"/>
      <c r="D38" s="133"/>
      <c r="E38" s="127"/>
      <c r="F38" s="127"/>
      <c r="G38" s="127"/>
      <c r="H38" s="178" t="s">
        <v>1</v>
      </c>
      <c r="I38" s="164"/>
      <c r="J38" s="164"/>
      <c r="K38" s="164"/>
      <c r="L38" s="164"/>
      <c r="M38" s="218"/>
      <c r="N38" s="219"/>
    </row>
    <row r="39" spans="1:14" ht="12.75">
      <c r="A39" s="186" t="s">
        <v>1298</v>
      </c>
      <c r="B39" s="164"/>
      <c r="C39" s="164"/>
      <c r="D39" s="133"/>
      <c r="E39" s="127"/>
      <c r="F39" s="127"/>
      <c r="G39" s="127"/>
      <c r="H39" s="127"/>
      <c r="I39" s="127"/>
      <c r="J39" s="127"/>
      <c r="K39" s="127"/>
      <c r="L39" s="127"/>
      <c r="M39" s="127"/>
      <c r="N39" s="128"/>
    </row>
    <row r="40" spans="1:14" ht="12.75">
      <c r="A40" s="106" t="s">
        <v>1307</v>
      </c>
      <c r="B40" s="196"/>
      <c r="C40" s="197"/>
      <c r="D40" s="198"/>
      <c r="E40" s="189" t="s">
        <v>1304</v>
      </c>
      <c r="F40" s="191"/>
      <c r="G40" s="129"/>
      <c r="H40" s="199" t="s">
        <v>1303</v>
      </c>
      <c r="I40" s="200"/>
      <c r="J40" s="129"/>
      <c r="K40" s="82" t="s">
        <v>1302</v>
      </c>
      <c r="L40" s="130"/>
      <c r="M40" s="82" t="s">
        <v>1010</v>
      </c>
      <c r="N40" s="131"/>
    </row>
    <row r="41" spans="1:14" ht="12.75">
      <c r="A41" s="153" t="s">
        <v>4</v>
      </c>
      <c r="B41" s="187"/>
      <c r="C41" s="187"/>
      <c r="D41" s="187"/>
      <c r="E41" s="187"/>
      <c r="F41" s="188"/>
      <c r="G41" s="189" t="s">
        <v>1299</v>
      </c>
      <c r="H41" s="190"/>
      <c r="I41" s="190"/>
      <c r="J41" s="190"/>
      <c r="K41" s="190"/>
      <c r="L41" s="191"/>
      <c r="M41" s="129"/>
      <c r="N41" s="121"/>
    </row>
    <row r="42" spans="1:14" ht="12.75">
      <c r="A42" s="192" t="s">
        <v>738</v>
      </c>
      <c r="B42" s="193"/>
      <c r="C42" s="79" t="s">
        <v>739</v>
      </c>
      <c r="D42" s="133"/>
      <c r="E42" s="80" t="s">
        <v>740</v>
      </c>
      <c r="F42" s="133"/>
      <c r="G42" s="80" t="s">
        <v>741</v>
      </c>
      <c r="H42" s="133"/>
      <c r="I42" s="80" t="s">
        <v>742</v>
      </c>
      <c r="J42" s="136"/>
      <c r="K42" s="182" t="s">
        <v>748</v>
      </c>
      <c r="L42" s="161"/>
      <c r="M42" s="162"/>
      <c r="N42" s="138"/>
    </row>
    <row r="43" spans="1:14" ht="12.75">
      <c r="A43" s="194"/>
      <c r="B43" s="195"/>
      <c r="C43" s="75" t="s">
        <v>743</v>
      </c>
      <c r="D43" s="134"/>
      <c r="E43" s="81" t="s">
        <v>744</v>
      </c>
      <c r="F43" s="134"/>
      <c r="G43" s="81" t="s">
        <v>745</v>
      </c>
      <c r="H43" s="134"/>
      <c r="I43" s="81" t="s">
        <v>746</v>
      </c>
      <c r="J43" s="135"/>
      <c r="K43" s="178" t="s">
        <v>756</v>
      </c>
      <c r="L43" s="178"/>
      <c r="M43" s="178"/>
      <c r="N43" s="138"/>
    </row>
    <row r="44" spans="1:14" ht="12.75">
      <c r="A44" s="179" t="s">
        <v>998</v>
      </c>
      <c r="B44" s="161"/>
      <c r="C44" s="162"/>
      <c r="D44" s="135"/>
      <c r="E44" s="178" t="s">
        <v>999</v>
      </c>
      <c r="F44" s="164"/>
      <c r="G44" s="164"/>
      <c r="H44" s="164"/>
      <c r="I44" s="164"/>
      <c r="J44" s="137"/>
      <c r="K44" s="182" t="s">
        <v>524</v>
      </c>
      <c r="L44" s="162"/>
      <c r="M44" s="134"/>
      <c r="N44" s="121"/>
    </row>
    <row r="45" spans="1:14" ht="12.75">
      <c r="A45" s="153" t="s">
        <v>758</v>
      </c>
      <c r="B45" s="183"/>
      <c r="C45" s="183"/>
      <c r="D45" s="183"/>
      <c r="E45" s="184"/>
      <c r="F45" s="185"/>
      <c r="G45" s="127"/>
      <c r="H45" s="127"/>
      <c r="I45" s="127"/>
      <c r="J45" s="127"/>
      <c r="K45" s="78" t="s">
        <v>752</v>
      </c>
      <c r="L45" s="78"/>
      <c r="M45" s="78"/>
      <c r="N45" s="139"/>
    </row>
    <row r="46" spans="1:14" ht="12.75">
      <c r="A46" s="179" t="s">
        <v>757</v>
      </c>
      <c r="B46" s="161"/>
      <c r="C46" s="161"/>
      <c r="D46" s="161"/>
      <c r="E46" s="176"/>
      <c r="F46" s="175"/>
      <c r="G46" s="178" t="s">
        <v>1308</v>
      </c>
      <c r="H46" s="178"/>
      <c r="I46" s="178"/>
      <c r="J46" s="135"/>
      <c r="K46" s="178" t="s">
        <v>6</v>
      </c>
      <c r="L46" s="164"/>
      <c r="M46" s="164"/>
      <c r="N46" s="140"/>
    </row>
    <row r="47" spans="1:14" ht="12.75">
      <c r="A47" s="153" t="s">
        <v>749</v>
      </c>
      <c r="B47" s="180"/>
      <c r="C47" s="180"/>
      <c r="D47" s="180"/>
      <c r="E47" s="180"/>
      <c r="F47" s="181"/>
      <c r="G47" s="127"/>
      <c r="H47" s="127"/>
      <c r="I47" s="127"/>
      <c r="J47" s="127"/>
      <c r="K47" s="178" t="s">
        <v>755</v>
      </c>
      <c r="L47" s="178"/>
      <c r="M47" s="178"/>
      <c r="N47" s="139"/>
    </row>
    <row r="48" spans="1:14" ht="12.75">
      <c r="A48" s="179" t="s">
        <v>751</v>
      </c>
      <c r="B48" s="161"/>
      <c r="C48" s="161"/>
      <c r="D48" s="162"/>
      <c r="E48" s="133"/>
      <c r="F48" s="178" t="s">
        <v>754</v>
      </c>
      <c r="G48" s="178"/>
      <c r="H48" s="178"/>
      <c r="I48" s="134"/>
      <c r="J48" s="127"/>
      <c r="K48" s="127"/>
      <c r="L48" s="127"/>
      <c r="M48" s="127"/>
      <c r="N48" s="128"/>
    </row>
    <row r="49" spans="1:14" ht="12.75">
      <c r="A49" s="179" t="s">
        <v>750</v>
      </c>
      <c r="B49" s="161"/>
      <c r="C49" s="161"/>
      <c r="D49" s="162"/>
      <c r="E49" s="141"/>
      <c r="F49" s="127"/>
      <c r="G49" s="127"/>
      <c r="H49" s="127"/>
      <c r="I49" s="127"/>
      <c r="J49" s="127"/>
      <c r="K49" s="127"/>
      <c r="L49" s="127"/>
      <c r="M49" s="127"/>
      <c r="N49" s="128"/>
    </row>
    <row r="50" spans="1:14" ht="12.75">
      <c r="A50" s="163" t="s">
        <v>753</v>
      </c>
      <c r="B50" s="178"/>
      <c r="C50" s="178"/>
      <c r="D50" s="164"/>
      <c r="E50" s="134"/>
      <c r="F50" s="125"/>
      <c r="G50" s="125"/>
      <c r="H50" s="125"/>
      <c r="I50" s="125"/>
      <c r="J50" s="125"/>
      <c r="K50" s="178" t="s">
        <v>1300</v>
      </c>
      <c r="L50" s="159"/>
      <c r="M50" s="159"/>
      <c r="N50" s="139"/>
    </row>
    <row r="51" spans="1:14" ht="12.75">
      <c r="A51" s="160" t="s">
        <v>532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8"/>
      <c r="L51" s="154" t="s">
        <v>1001</v>
      </c>
      <c r="M51" s="155"/>
      <c r="N51" s="156"/>
    </row>
    <row r="52" spans="1:14" ht="12.75">
      <c r="A52" s="173"/>
      <c r="B52" s="174"/>
      <c r="C52" s="174"/>
      <c r="D52" s="174"/>
      <c r="E52" s="174"/>
      <c r="F52" s="174"/>
      <c r="G52" s="174"/>
      <c r="H52" s="174"/>
      <c r="I52" s="174"/>
      <c r="J52" s="174"/>
      <c r="K52" s="175"/>
      <c r="L52" s="176"/>
      <c r="M52" s="174"/>
      <c r="N52" s="177"/>
    </row>
    <row r="53" spans="1:14" ht="12.75">
      <c r="A53" s="173"/>
      <c r="B53" s="174"/>
      <c r="C53" s="174"/>
      <c r="D53" s="174"/>
      <c r="E53" s="174"/>
      <c r="F53" s="174"/>
      <c r="G53" s="174"/>
      <c r="H53" s="174"/>
      <c r="I53" s="174"/>
      <c r="J53" s="174"/>
      <c r="K53" s="175"/>
      <c r="L53" s="176"/>
      <c r="M53" s="174"/>
      <c r="N53" s="177"/>
    </row>
    <row r="54" spans="1:14" ht="12.75">
      <c r="A54" s="173"/>
      <c r="B54" s="174"/>
      <c r="C54" s="174"/>
      <c r="D54" s="174"/>
      <c r="E54" s="174"/>
      <c r="F54" s="174"/>
      <c r="G54" s="174"/>
      <c r="H54" s="174"/>
      <c r="I54" s="174"/>
      <c r="J54" s="174"/>
      <c r="K54" s="175"/>
      <c r="L54" s="176"/>
      <c r="M54" s="174"/>
      <c r="N54" s="177"/>
    </row>
    <row r="55" spans="1:14" ht="12.75">
      <c r="A55" s="173"/>
      <c r="B55" s="174"/>
      <c r="C55" s="174"/>
      <c r="D55" s="174"/>
      <c r="E55" s="174"/>
      <c r="F55" s="174"/>
      <c r="G55" s="174"/>
      <c r="H55" s="174"/>
      <c r="I55" s="174"/>
      <c r="J55" s="174"/>
      <c r="K55" s="175"/>
      <c r="L55" s="176"/>
      <c r="M55" s="174"/>
      <c r="N55" s="177"/>
    </row>
    <row r="56" spans="1:14" ht="12.75">
      <c r="A56" s="173"/>
      <c r="B56" s="174"/>
      <c r="C56" s="174"/>
      <c r="D56" s="174"/>
      <c r="E56" s="174"/>
      <c r="F56" s="174"/>
      <c r="G56" s="174"/>
      <c r="H56" s="174"/>
      <c r="I56" s="174"/>
      <c r="J56" s="174"/>
      <c r="K56" s="175"/>
      <c r="L56" s="176"/>
      <c r="M56" s="174"/>
      <c r="N56" s="177"/>
    </row>
    <row r="57" spans="1:14" ht="12.75">
      <c r="A57" s="165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7"/>
    </row>
    <row r="58" spans="1:14" ht="13.5" thickBot="1">
      <c r="A58" s="168" t="s">
        <v>1296</v>
      </c>
      <c r="B58" s="169"/>
      <c r="C58" s="170"/>
      <c r="D58" s="170"/>
      <c r="E58" s="170"/>
      <c r="F58" s="171"/>
      <c r="G58" s="171"/>
      <c r="H58" s="172"/>
      <c r="I58" s="172"/>
      <c r="J58" s="143"/>
      <c r="K58" s="113" t="s">
        <v>1000</v>
      </c>
      <c r="L58" s="113"/>
      <c r="M58" s="114"/>
      <c r="N58" s="142"/>
    </row>
    <row r="59" ht="12.75" customHeight="1" thickTop="1"/>
    <row r="60" ht="12.75" customHeight="1"/>
    <row r="82" ht="12.75" customHeight="1"/>
    <row r="87" ht="12.75" customHeight="1"/>
    <row r="88" ht="12.75" customHeight="1"/>
    <row r="89" ht="12.75" customHeight="1"/>
    <row r="118" ht="12.75" customHeight="1"/>
    <row r="119" ht="12.75" customHeight="1"/>
    <row r="141" ht="12.75" customHeight="1"/>
    <row r="146" ht="12.75" customHeight="1"/>
    <row r="147" ht="12.75" customHeight="1"/>
    <row r="148" ht="12.75" customHeight="1"/>
    <row r="177" ht="12.75" customHeight="1"/>
    <row r="178" ht="12.75" customHeight="1"/>
    <row r="200" ht="12.75" customHeight="1"/>
    <row r="205" ht="12.75" customHeight="1"/>
    <row r="206" ht="12.75" customHeight="1"/>
    <row r="207" ht="12.75" customHeight="1"/>
    <row r="236" ht="12.75" customHeight="1"/>
    <row r="237" ht="12.75" customHeight="1"/>
    <row r="259" ht="12.75" customHeight="1"/>
    <row r="264" ht="12.75" customHeight="1"/>
    <row r="265" ht="12.75" customHeight="1"/>
    <row r="266" ht="12.75" customHeight="1"/>
    <row r="295" ht="12.75" customHeight="1"/>
    <row r="296" ht="12.75" customHeight="1"/>
    <row r="318" ht="12.75" customHeight="1"/>
    <row r="323" ht="12.75" customHeight="1"/>
    <row r="324" ht="12.75" customHeight="1"/>
    <row r="325" ht="12.75" customHeight="1"/>
    <row r="354" ht="12.75" customHeight="1"/>
    <row r="355" ht="12.75" customHeight="1"/>
    <row r="377" ht="12.75" customHeight="1"/>
    <row r="382" ht="12.75" customHeight="1"/>
    <row r="383" ht="12.75" customHeight="1"/>
    <row r="384" ht="12.75" customHeight="1"/>
    <row r="413" ht="12.75" customHeight="1"/>
    <row r="414" ht="12.75" customHeight="1"/>
    <row r="436" ht="12.75" customHeight="1"/>
    <row r="441" ht="12.75" customHeight="1"/>
    <row r="442" ht="12.75" customHeight="1"/>
    <row r="443" ht="12.75" customHeight="1"/>
    <row r="472" ht="12.75" customHeight="1"/>
    <row r="473" ht="12.75" customHeight="1"/>
    <row r="495" ht="12.75" customHeight="1"/>
    <row r="500" ht="12.75" customHeight="1"/>
    <row r="501" ht="12.75" customHeight="1"/>
    <row r="502" ht="12.75" customHeight="1"/>
    <row r="531" ht="12.75" customHeight="1"/>
    <row r="532" ht="12.75" customHeight="1"/>
    <row r="554" ht="12.75" customHeight="1"/>
    <row r="559" ht="12.75" customHeight="1"/>
    <row r="560" ht="12.75" customHeight="1"/>
    <row r="561" ht="12.75" customHeight="1"/>
  </sheetData>
  <sheetProtection selectLockedCells="1"/>
  <mergeCells count="126">
    <mergeCell ref="F48:H48"/>
    <mergeCell ref="A46:D46"/>
    <mergeCell ref="E46:F46"/>
    <mergeCell ref="G46:I46"/>
    <mergeCell ref="A29:E29"/>
    <mergeCell ref="F29:I29"/>
    <mergeCell ref="A4:F4"/>
    <mergeCell ref="A33:F33"/>
    <mergeCell ref="B30:N30"/>
    <mergeCell ref="A17:D17"/>
    <mergeCell ref="E17:F17"/>
    <mergeCell ref="G17:I17"/>
    <mergeCell ref="K21:M21"/>
    <mergeCell ref="A22:K22"/>
    <mergeCell ref="A18:F18"/>
    <mergeCell ref="A19:D19"/>
    <mergeCell ref="F19:H19"/>
    <mergeCell ref="A23:K23"/>
    <mergeCell ref="A15:C15"/>
    <mergeCell ref="E15:I15"/>
    <mergeCell ref="K15:L15"/>
    <mergeCell ref="A16:F16"/>
    <mergeCell ref="G12:L12"/>
    <mergeCell ref="A13:B14"/>
    <mergeCell ref="K13:M13"/>
    <mergeCell ref="K14:M14"/>
    <mergeCell ref="E5:F5"/>
    <mergeCell ref="H5:I5"/>
    <mergeCell ref="E6:F6"/>
    <mergeCell ref="H6:I6"/>
    <mergeCell ref="M2:N2"/>
    <mergeCell ref="A20:D20"/>
    <mergeCell ref="K18:M18"/>
    <mergeCell ref="A24:K24"/>
    <mergeCell ref="A9:C9"/>
    <mergeCell ref="A10:C10"/>
    <mergeCell ref="L23:N23"/>
    <mergeCell ref="H9:L9"/>
    <mergeCell ref="B11:D11"/>
    <mergeCell ref="E11:F11"/>
    <mergeCell ref="A2:C3"/>
    <mergeCell ref="D2:E3"/>
    <mergeCell ref="I2:K2"/>
    <mergeCell ref="F3:H3"/>
    <mergeCell ref="F2:H2"/>
    <mergeCell ref="I3:L3"/>
    <mergeCell ref="B1:N1"/>
    <mergeCell ref="L27:N27"/>
    <mergeCell ref="A8:F8"/>
    <mergeCell ref="H37:L37"/>
    <mergeCell ref="L28:N28"/>
    <mergeCell ref="L24:N24"/>
    <mergeCell ref="L25:N25"/>
    <mergeCell ref="L26:N26"/>
    <mergeCell ref="B6:D6"/>
    <mergeCell ref="B5:D5"/>
    <mergeCell ref="M38:N38"/>
    <mergeCell ref="B7:D7"/>
    <mergeCell ref="E7:F7"/>
    <mergeCell ref="H7:I7"/>
    <mergeCell ref="H8:L8"/>
    <mergeCell ref="M9:N9"/>
    <mergeCell ref="H11:I11"/>
    <mergeCell ref="A12:F12"/>
    <mergeCell ref="I31:K31"/>
    <mergeCell ref="E36:F36"/>
    <mergeCell ref="A31:C32"/>
    <mergeCell ref="D31:E32"/>
    <mergeCell ref="F31:H31"/>
    <mergeCell ref="H38:L38"/>
    <mergeCell ref="H36:I36"/>
    <mergeCell ref="E35:F35"/>
    <mergeCell ref="H35:I35"/>
    <mergeCell ref="B34:D34"/>
    <mergeCell ref="E34:F34"/>
    <mergeCell ref="H34:I34"/>
    <mergeCell ref="K17:M17"/>
    <mergeCell ref="M31:N31"/>
    <mergeCell ref="F32:H32"/>
    <mergeCell ref="I32:L32"/>
    <mergeCell ref="A28:K28"/>
    <mergeCell ref="A21:D21"/>
    <mergeCell ref="A25:K25"/>
    <mergeCell ref="A26:K26"/>
    <mergeCell ref="A27:K27"/>
    <mergeCell ref="L22:N22"/>
    <mergeCell ref="B35:D35"/>
    <mergeCell ref="B36:D36"/>
    <mergeCell ref="A37:F37"/>
    <mergeCell ref="A38:C38"/>
    <mergeCell ref="A39:C39"/>
    <mergeCell ref="A41:F41"/>
    <mergeCell ref="G41:L41"/>
    <mergeCell ref="A42:B43"/>
    <mergeCell ref="K42:M42"/>
    <mergeCell ref="K43:M43"/>
    <mergeCell ref="B40:D40"/>
    <mergeCell ref="E40:F40"/>
    <mergeCell ref="H40:I40"/>
    <mergeCell ref="K46:M46"/>
    <mergeCell ref="A44:C44"/>
    <mergeCell ref="E44:I44"/>
    <mergeCell ref="K44:L44"/>
    <mergeCell ref="A45:F45"/>
    <mergeCell ref="K47:M47"/>
    <mergeCell ref="A49:D49"/>
    <mergeCell ref="A50:D50"/>
    <mergeCell ref="A52:K52"/>
    <mergeCell ref="L52:N52"/>
    <mergeCell ref="K50:M50"/>
    <mergeCell ref="A51:K51"/>
    <mergeCell ref="L51:N51"/>
    <mergeCell ref="A47:F47"/>
    <mergeCell ref="A48:D48"/>
    <mergeCell ref="A53:K53"/>
    <mergeCell ref="L53:N53"/>
    <mergeCell ref="A54:K54"/>
    <mergeCell ref="L54:N54"/>
    <mergeCell ref="A55:K55"/>
    <mergeCell ref="L55:N55"/>
    <mergeCell ref="A56:K56"/>
    <mergeCell ref="L56:N56"/>
    <mergeCell ref="A57:K57"/>
    <mergeCell ref="L57:N57"/>
    <mergeCell ref="A58:E58"/>
    <mergeCell ref="F58:I58"/>
  </mergeCells>
  <dataValidations count="1">
    <dataValidation type="list" allowBlank="1" showInputMessage="1" showErrorMessage="1" sqref="S51 S22">
      <formula1>Items</formula1>
    </dataValidation>
  </dataValidations>
  <printOptions/>
  <pageMargins left="0.393700787401575" right="0.393700787401575" top="0.393700787401575" bottom="0.393700787401575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0"/>
  <sheetViews>
    <sheetView workbookViewId="0" topLeftCell="A1">
      <selection activeCell="A2" sqref="A2:A19"/>
    </sheetView>
  </sheetViews>
  <sheetFormatPr defaultColWidth="9.140625" defaultRowHeight="12.75"/>
  <cols>
    <col min="1" max="1" width="21.421875" style="0" customWidth="1"/>
    <col min="2" max="2" width="7.140625" style="0" bestFit="1" customWidth="1"/>
    <col min="3" max="3" width="7.8515625" style="0" bestFit="1" customWidth="1"/>
    <col min="4" max="4" width="2.57421875" style="0" bestFit="1" customWidth="1"/>
    <col min="5" max="5" width="4.140625" style="0" bestFit="1" customWidth="1"/>
    <col min="6" max="6" width="3.57421875" style="0" bestFit="1" customWidth="1"/>
    <col min="7" max="7" width="2.28125" style="0" bestFit="1" customWidth="1"/>
    <col min="8" max="8" width="2.140625" style="0" bestFit="1" customWidth="1"/>
    <col min="9" max="9" width="2.8515625" style="0" bestFit="1" customWidth="1"/>
    <col min="10" max="10" width="2.00390625" style="0" bestFit="1" customWidth="1"/>
    <col min="11" max="11" width="2.28125" style="0" bestFit="1" customWidth="1"/>
    <col min="12" max="12" width="3.421875" style="0" bestFit="1" customWidth="1"/>
    <col min="13" max="13" width="6.8515625" style="0" bestFit="1" customWidth="1"/>
    <col min="14" max="14" width="21.00390625" style="0" bestFit="1" customWidth="1"/>
    <col min="15" max="15" width="20.421875" style="0" bestFit="1" customWidth="1"/>
    <col min="16" max="16" width="14.421875" style="0" bestFit="1" customWidth="1"/>
    <col min="17" max="17" width="17.28125" style="0" bestFit="1" customWidth="1"/>
    <col min="18" max="18" width="3.140625" style="0" bestFit="1" customWidth="1"/>
    <col min="19" max="19" width="19.421875" style="0" bestFit="1" customWidth="1"/>
    <col min="20" max="20" width="17.00390625" style="0" customWidth="1"/>
    <col min="21" max="21" width="12.8515625" style="0" customWidth="1"/>
    <col min="22" max="22" width="20.8515625" style="0" customWidth="1"/>
    <col min="23" max="23" width="26.7109375" style="0" bestFit="1" customWidth="1"/>
    <col min="24" max="24" width="2.00390625" style="0" bestFit="1" customWidth="1"/>
    <col min="25" max="25" width="2.8515625" style="0" bestFit="1" customWidth="1"/>
    <col min="26" max="26" width="2.00390625" style="0" bestFit="1" customWidth="1"/>
    <col min="27" max="27" width="2.28125" style="0" bestFit="1" customWidth="1"/>
    <col min="28" max="28" width="3.28125" style="0" bestFit="1" customWidth="1"/>
    <col min="29" max="29" width="6.28125" style="0" bestFit="1" customWidth="1"/>
    <col min="30" max="30" width="6.8515625" style="0" customWidth="1"/>
    <col min="31" max="31" width="5.421875" style="0" customWidth="1"/>
    <col min="32" max="32" width="6.8515625" style="0" bestFit="1" customWidth="1"/>
    <col min="33" max="34" width="3.28125" style="0" bestFit="1" customWidth="1"/>
    <col min="35" max="35" width="10.57421875" style="0" bestFit="1" customWidth="1"/>
    <col min="36" max="36" width="22.421875" style="0" bestFit="1" customWidth="1"/>
    <col min="37" max="37" width="27.00390625" style="0" bestFit="1" customWidth="1"/>
  </cols>
  <sheetData>
    <row r="1" spans="1:22" ht="12.75">
      <c r="A1" s="14" t="s">
        <v>569</v>
      </c>
      <c r="B1" s="14" t="s">
        <v>570</v>
      </c>
      <c r="C1" s="14" t="s">
        <v>571</v>
      </c>
      <c r="D1" s="14" t="s">
        <v>7</v>
      </c>
      <c r="E1" s="14" t="s">
        <v>8</v>
      </c>
      <c r="F1" s="14" t="s">
        <v>9</v>
      </c>
      <c r="G1" s="14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118</v>
      </c>
      <c r="M1" s="14" t="s">
        <v>572</v>
      </c>
      <c r="N1" s="14" t="s">
        <v>687</v>
      </c>
      <c r="O1" s="14" t="s">
        <v>688</v>
      </c>
      <c r="P1" s="14" t="s">
        <v>689</v>
      </c>
      <c r="Q1" s="14" t="s">
        <v>690</v>
      </c>
      <c r="R1" s="14" t="s">
        <v>691</v>
      </c>
      <c r="S1" s="14" t="s">
        <v>692</v>
      </c>
      <c r="T1" s="14" t="s">
        <v>693</v>
      </c>
      <c r="U1" s="14" t="s">
        <v>574</v>
      </c>
      <c r="V1" s="14" t="s">
        <v>737</v>
      </c>
    </row>
    <row r="2" spans="1:22" ht="12.75">
      <c r="A2" t="s">
        <v>384</v>
      </c>
      <c r="B2">
        <v>30</v>
      </c>
      <c r="C2">
        <v>15</v>
      </c>
      <c r="D2">
        <v>4</v>
      </c>
      <c r="E2">
        <v>4</v>
      </c>
      <c r="F2">
        <v>3</v>
      </c>
      <c r="G2">
        <v>4</v>
      </c>
      <c r="H2">
        <v>4</v>
      </c>
      <c r="I2">
        <v>1</v>
      </c>
      <c r="J2">
        <v>4</v>
      </c>
      <c r="K2">
        <v>2</v>
      </c>
      <c r="L2">
        <v>7</v>
      </c>
      <c r="M2">
        <v>22</v>
      </c>
      <c r="N2" t="s">
        <v>74</v>
      </c>
      <c r="O2" t="s">
        <v>651</v>
      </c>
      <c r="P2" t="s">
        <v>61</v>
      </c>
      <c r="T2" t="s">
        <v>576</v>
      </c>
      <c r="V2" t="s">
        <v>704</v>
      </c>
    </row>
    <row r="3" spans="1:22" ht="12.75">
      <c r="A3" t="s">
        <v>695</v>
      </c>
      <c r="B3">
        <v>80</v>
      </c>
      <c r="C3">
        <v>30</v>
      </c>
      <c r="D3">
        <v>6</v>
      </c>
      <c r="E3">
        <v>3</v>
      </c>
      <c r="F3">
        <v>2</v>
      </c>
      <c r="G3">
        <v>4</v>
      </c>
      <c r="H3">
        <v>4</v>
      </c>
      <c r="I3">
        <v>3</v>
      </c>
      <c r="J3">
        <v>3</v>
      </c>
      <c r="K3">
        <v>2</v>
      </c>
      <c r="L3">
        <v>7</v>
      </c>
      <c r="M3">
        <v>25</v>
      </c>
      <c r="N3" t="s">
        <v>94</v>
      </c>
      <c r="O3" t="s">
        <v>94</v>
      </c>
      <c r="S3" t="s">
        <v>69</v>
      </c>
      <c r="T3" t="s">
        <v>580</v>
      </c>
      <c r="U3" t="s">
        <v>694</v>
      </c>
      <c r="V3" t="s">
        <v>705</v>
      </c>
    </row>
    <row r="4" spans="1:25" ht="16.5" customHeight="1">
      <c r="A4" t="s">
        <v>696</v>
      </c>
      <c r="B4">
        <v>80</v>
      </c>
      <c r="C4">
        <v>30</v>
      </c>
      <c r="D4">
        <v>6</v>
      </c>
      <c r="E4">
        <v>3</v>
      </c>
      <c r="F4">
        <v>2</v>
      </c>
      <c r="G4">
        <v>4</v>
      </c>
      <c r="H4">
        <v>4</v>
      </c>
      <c r="I4">
        <v>3</v>
      </c>
      <c r="J4">
        <v>3</v>
      </c>
      <c r="K4">
        <v>2</v>
      </c>
      <c r="L4">
        <v>7</v>
      </c>
      <c r="M4">
        <v>25</v>
      </c>
      <c r="N4" t="s">
        <v>34</v>
      </c>
      <c r="O4" t="s">
        <v>34</v>
      </c>
      <c r="S4" t="s">
        <v>69</v>
      </c>
      <c r="T4" t="s">
        <v>580</v>
      </c>
      <c r="U4" t="s">
        <v>694</v>
      </c>
      <c r="V4" t="s">
        <v>705</v>
      </c>
      <c r="W4" s="3"/>
      <c r="X4" s="3"/>
      <c r="Y4" s="3"/>
    </row>
    <row r="5" spans="1:22" ht="16.5" customHeight="1">
      <c r="A5" t="s">
        <v>697</v>
      </c>
      <c r="B5">
        <v>80</v>
      </c>
      <c r="C5">
        <v>30</v>
      </c>
      <c r="D5">
        <v>6</v>
      </c>
      <c r="E5">
        <v>3</v>
      </c>
      <c r="F5">
        <v>2</v>
      </c>
      <c r="G5">
        <v>4</v>
      </c>
      <c r="H5">
        <v>4</v>
      </c>
      <c r="I5">
        <v>3</v>
      </c>
      <c r="J5">
        <v>3</v>
      </c>
      <c r="K5">
        <v>2</v>
      </c>
      <c r="L5">
        <v>7</v>
      </c>
      <c r="M5">
        <v>25</v>
      </c>
      <c r="N5" t="s">
        <v>415</v>
      </c>
      <c r="O5" t="s">
        <v>415</v>
      </c>
      <c r="S5" t="s">
        <v>69</v>
      </c>
      <c r="T5" t="s">
        <v>580</v>
      </c>
      <c r="U5" t="s">
        <v>694</v>
      </c>
      <c r="V5" t="s">
        <v>705</v>
      </c>
    </row>
    <row r="6" spans="1:25" s="3" customFormat="1" ht="16.5" customHeight="1">
      <c r="A6" t="s">
        <v>698</v>
      </c>
      <c r="B6">
        <v>80</v>
      </c>
      <c r="C6">
        <v>30</v>
      </c>
      <c r="D6">
        <v>6</v>
      </c>
      <c r="E6">
        <v>3</v>
      </c>
      <c r="F6">
        <v>2</v>
      </c>
      <c r="G6">
        <v>4</v>
      </c>
      <c r="H6">
        <v>4</v>
      </c>
      <c r="I6">
        <v>3</v>
      </c>
      <c r="J6">
        <v>3</v>
      </c>
      <c r="K6">
        <v>2</v>
      </c>
      <c r="L6">
        <v>7</v>
      </c>
      <c r="M6">
        <v>25</v>
      </c>
      <c r="N6" t="s">
        <v>94</v>
      </c>
      <c r="O6" t="s">
        <v>34</v>
      </c>
      <c r="P6"/>
      <c r="Q6"/>
      <c r="R6"/>
      <c r="S6" t="s">
        <v>69</v>
      </c>
      <c r="T6" t="s">
        <v>580</v>
      </c>
      <c r="U6" t="s">
        <v>694</v>
      </c>
      <c r="V6" t="s">
        <v>705</v>
      </c>
      <c r="W6"/>
      <c r="X6"/>
      <c r="Y6"/>
    </row>
    <row r="7" spans="1:22" ht="16.5" customHeight="1">
      <c r="A7" t="s">
        <v>699</v>
      </c>
      <c r="B7">
        <v>80</v>
      </c>
      <c r="C7">
        <v>30</v>
      </c>
      <c r="D7">
        <v>6</v>
      </c>
      <c r="E7">
        <v>3</v>
      </c>
      <c r="F7">
        <v>2</v>
      </c>
      <c r="G7">
        <v>4</v>
      </c>
      <c r="H7">
        <v>4</v>
      </c>
      <c r="I7">
        <v>3</v>
      </c>
      <c r="J7">
        <v>3</v>
      </c>
      <c r="K7">
        <v>2</v>
      </c>
      <c r="L7">
        <v>7</v>
      </c>
      <c r="M7">
        <v>25</v>
      </c>
      <c r="N7" t="s">
        <v>94</v>
      </c>
      <c r="O7" t="s">
        <v>415</v>
      </c>
      <c r="S7" t="s">
        <v>69</v>
      </c>
      <c r="T7" t="s">
        <v>580</v>
      </c>
      <c r="U7" t="s">
        <v>694</v>
      </c>
      <c r="V7" t="s">
        <v>705</v>
      </c>
    </row>
    <row r="8" spans="1:22" ht="16.5" customHeight="1">
      <c r="A8" t="s">
        <v>700</v>
      </c>
      <c r="B8">
        <v>80</v>
      </c>
      <c r="C8">
        <v>30</v>
      </c>
      <c r="D8">
        <v>6</v>
      </c>
      <c r="E8">
        <v>3</v>
      </c>
      <c r="F8">
        <v>2</v>
      </c>
      <c r="G8">
        <v>4</v>
      </c>
      <c r="H8">
        <v>4</v>
      </c>
      <c r="I8">
        <v>3</v>
      </c>
      <c r="J8">
        <v>3</v>
      </c>
      <c r="K8">
        <v>2</v>
      </c>
      <c r="L8">
        <v>7</v>
      </c>
      <c r="M8">
        <v>25</v>
      </c>
      <c r="N8" t="s">
        <v>34</v>
      </c>
      <c r="O8" t="s">
        <v>415</v>
      </c>
      <c r="S8" t="s">
        <v>69</v>
      </c>
      <c r="T8" t="s">
        <v>580</v>
      </c>
      <c r="U8" t="s">
        <v>694</v>
      </c>
      <c r="V8" t="s">
        <v>705</v>
      </c>
    </row>
    <row r="9" spans="1:22" ht="16.5" customHeight="1">
      <c r="A9" t="s">
        <v>701</v>
      </c>
      <c r="B9">
        <v>80</v>
      </c>
      <c r="C9">
        <v>30</v>
      </c>
      <c r="D9">
        <v>6</v>
      </c>
      <c r="E9">
        <v>3</v>
      </c>
      <c r="F9">
        <v>2</v>
      </c>
      <c r="G9">
        <v>4</v>
      </c>
      <c r="H9">
        <v>4</v>
      </c>
      <c r="I9">
        <v>3</v>
      </c>
      <c r="J9">
        <v>3</v>
      </c>
      <c r="K9">
        <v>2</v>
      </c>
      <c r="L9">
        <v>7</v>
      </c>
      <c r="M9">
        <v>25</v>
      </c>
      <c r="N9" t="s">
        <v>411</v>
      </c>
      <c r="S9" t="s">
        <v>69</v>
      </c>
      <c r="T9" t="s">
        <v>580</v>
      </c>
      <c r="U9" t="s">
        <v>694</v>
      </c>
      <c r="V9" t="s">
        <v>705</v>
      </c>
    </row>
    <row r="10" spans="1:22" ht="16.5" customHeight="1">
      <c r="A10" t="s">
        <v>582</v>
      </c>
      <c r="B10">
        <v>15</v>
      </c>
      <c r="C10">
        <v>5</v>
      </c>
      <c r="D10">
        <v>4</v>
      </c>
      <c r="E10">
        <v>2</v>
      </c>
      <c r="F10">
        <v>4</v>
      </c>
      <c r="G10">
        <v>2</v>
      </c>
      <c r="H10">
        <v>2</v>
      </c>
      <c r="I10">
        <v>1</v>
      </c>
      <c r="J10">
        <v>4</v>
      </c>
      <c r="K10">
        <v>1</v>
      </c>
      <c r="L10">
        <v>8</v>
      </c>
      <c r="M10">
        <v>5</v>
      </c>
      <c r="N10" t="s">
        <v>41</v>
      </c>
      <c r="O10" t="s">
        <v>407</v>
      </c>
      <c r="P10" t="s">
        <v>61</v>
      </c>
      <c r="T10" t="s">
        <v>585</v>
      </c>
      <c r="U10" t="s">
        <v>584</v>
      </c>
      <c r="V10" t="s">
        <v>706</v>
      </c>
    </row>
    <row r="11" spans="1:22" ht="16.5" customHeight="1">
      <c r="A11" t="s">
        <v>586</v>
      </c>
      <c r="B11">
        <v>30</v>
      </c>
      <c r="C11">
        <v>15</v>
      </c>
      <c r="D11">
        <v>4</v>
      </c>
      <c r="E11">
        <v>2</v>
      </c>
      <c r="F11">
        <v>2</v>
      </c>
      <c r="G11">
        <v>3</v>
      </c>
      <c r="H11">
        <v>3</v>
      </c>
      <c r="I11">
        <v>1</v>
      </c>
      <c r="J11">
        <v>4</v>
      </c>
      <c r="K11">
        <v>1</v>
      </c>
      <c r="L11">
        <v>8</v>
      </c>
      <c r="M11">
        <v>16</v>
      </c>
      <c r="N11" t="s">
        <v>552</v>
      </c>
      <c r="T11" t="s">
        <v>702</v>
      </c>
      <c r="U11" t="s">
        <v>703</v>
      </c>
      <c r="V11" t="s">
        <v>707</v>
      </c>
    </row>
    <row r="12" spans="1:22" ht="12.75">
      <c r="A12" t="s">
        <v>589</v>
      </c>
      <c r="B12">
        <v>50</v>
      </c>
      <c r="C12">
        <v>20</v>
      </c>
      <c r="D12">
        <v>4</v>
      </c>
      <c r="E12">
        <v>4</v>
      </c>
      <c r="F12">
        <v>3</v>
      </c>
      <c r="G12">
        <v>4</v>
      </c>
      <c r="H12">
        <v>3</v>
      </c>
      <c r="I12">
        <v>1</v>
      </c>
      <c r="J12">
        <v>4</v>
      </c>
      <c r="K12">
        <v>1</v>
      </c>
      <c r="L12">
        <v>7</v>
      </c>
      <c r="M12">
        <v>21</v>
      </c>
      <c r="N12" t="s">
        <v>94</v>
      </c>
      <c r="O12" t="s">
        <v>67</v>
      </c>
      <c r="S12" t="s">
        <v>596</v>
      </c>
      <c r="T12" t="s">
        <v>580</v>
      </c>
      <c r="V12" t="s">
        <v>708</v>
      </c>
    </row>
    <row r="13" spans="1:22" ht="19.5" customHeight="1">
      <c r="A13" t="s">
        <v>591</v>
      </c>
      <c r="B13">
        <v>40</v>
      </c>
      <c r="C13">
        <v>20</v>
      </c>
      <c r="D13">
        <v>5</v>
      </c>
      <c r="E13">
        <v>4</v>
      </c>
      <c r="F13">
        <v>5</v>
      </c>
      <c r="G13">
        <v>3</v>
      </c>
      <c r="H13">
        <v>3</v>
      </c>
      <c r="I13">
        <v>1</v>
      </c>
      <c r="J13">
        <v>6</v>
      </c>
      <c r="K13">
        <v>1</v>
      </c>
      <c r="L13">
        <v>8</v>
      </c>
      <c r="M13">
        <v>12</v>
      </c>
      <c r="N13" t="s">
        <v>663</v>
      </c>
      <c r="O13" t="s">
        <v>94</v>
      </c>
      <c r="P13" t="s">
        <v>666</v>
      </c>
      <c r="T13" t="s">
        <v>593</v>
      </c>
      <c r="U13" t="s">
        <v>714</v>
      </c>
      <c r="V13" t="s">
        <v>709</v>
      </c>
    </row>
    <row r="14" spans="1:22" ht="12.75">
      <c r="A14" t="s">
        <v>710</v>
      </c>
      <c r="B14">
        <v>25</v>
      </c>
      <c r="C14">
        <v>10</v>
      </c>
      <c r="D14">
        <v>3</v>
      </c>
      <c r="E14">
        <v>4</v>
      </c>
      <c r="F14">
        <v>3</v>
      </c>
      <c r="G14">
        <v>3</v>
      </c>
      <c r="H14">
        <v>4</v>
      </c>
      <c r="I14">
        <v>1</v>
      </c>
      <c r="J14">
        <v>2</v>
      </c>
      <c r="K14">
        <v>1</v>
      </c>
      <c r="L14">
        <v>9</v>
      </c>
      <c r="M14">
        <v>12</v>
      </c>
      <c r="N14" t="s">
        <v>34</v>
      </c>
      <c r="O14" t="s">
        <v>34</v>
      </c>
      <c r="T14" t="s">
        <v>713</v>
      </c>
      <c r="U14" t="s">
        <v>715</v>
      </c>
      <c r="V14" t="s">
        <v>709</v>
      </c>
    </row>
    <row r="15" spans="1:22" ht="12.75">
      <c r="A15" t="s">
        <v>711</v>
      </c>
      <c r="B15">
        <v>25</v>
      </c>
      <c r="C15">
        <v>10</v>
      </c>
      <c r="D15">
        <v>3</v>
      </c>
      <c r="E15">
        <v>4</v>
      </c>
      <c r="F15">
        <v>3</v>
      </c>
      <c r="G15">
        <v>3</v>
      </c>
      <c r="H15">
        <v>4</v>
      </c>
      <c r="I15">
        <v>1</v>
      </c>
      <c r="J15">
        <v>2</v>
      </c>
      <c r="K15">
        <v>1</v>
      </c>
      <c r="L15">
        <v>9</v>
      </c>
      <c r="M15">
        <v>12</v>
      </c>
      <c r="N15" t="s">
        <v>712</v>
      </c>
      <c r="T15" t="s">
        <v>713</v>
      </c>
      <c r="U15" t="s">
        <v>715</v>
      </c>
      <c r="V15" t="s">
        <v>709</v>
      </c>
    </row>
    <row r="16" spans="1:22" ht="12.75">
      <c r="A16" t="s">
        <v>891</v>
      </c>
      <c r="B16">
        <v>35</v>
      </c>
      <c r="C16">
        <v>15</v>
      </c>
      <c r="D16">
        <v>4</v>
      </c>
      <c r="E16">
        <v>4</v>
      </c>
      <c r="F16">
        <v>3</v>
      </c>
      <c r="G16">
        <v>3</v>
      </c>
      <c r="H16">
        <v>3</v>
      </c>
      <c r="I16">
        <v>1</v>
      </c>
      <c r="J16">
        <v>4</v>
      </c>
      <c r="K16">
        <v>2</v>
      </c>
      <c r="L16">
        <v>7</v>
      </c>
      <c r="M16">
        <v>18</v>
      </c>
      <c r="N16" t="s">
        <v>893</v>
      </c>
      <c r="O16" t="s">
        <v>94</v>
      </c>
      <c r="P16" t="s">
        <v>407</v>
      </c>
      <c r="S16" t="s">
        <v>43</v>
      </c>
      <c r="T16" t="s">
        <v>895</v>
      </c>
      <c r="U16" t="s">
        <v>894</v>
      </c>
      <c r="V16" t="s">
        <v>892</v>
      </c>
    </row>
    <row r="17" spans="1:22" ht="12.75">
      <c r="A17" t="s">
        <v>896</v>
      </c>
      <c r="B17">
        <v>20</v>
      </c>
      <c r="C17">
        <v>10</v>
      </c>
      <c r="D17">
        <v>4</v>
      </c>
      <c r="E17">
        <v>3</v>
      </c>
      <c r="F17">
        <v>3</v>
      </c>
      <c r="G17">
        <v>3</v>
      </c>
      <c r="H17">
        <v>3</v>
      </c>
      <c r="I17">
        <v>1</v>
      </c>
      <c r="J17">
        <v>3</v>
      </c>
      <c r="K17">
        <v>1</v>
      </c>
      <c r="L17">
        <v>7</v>
      </c>
      <c r="M17">
        <v>8</v>
      </c>
      <c r="N17" t="s">
        <v>94</v>
      </c>
      <c r="O17" t="s">
        <v>407</v>
      </c>
      <c r="S17" t="s">
        <v>69</v>
      </c>
      <c r="T17" t="s">
        <v>798</v>
      </c>
      <c r="U17" t="s">
        <v>897</v>
      </c>
      <c r="V17" t="s">
        <v>898</v>
      </c>
    </row>
    <row r="18" spans="1:22" ht="12.75">
      <c r="A18" t="s">
        <v>899</v>
      </c>
      <c r="B18">
        <v>40</v>
      </c>
      <c r="C18">
        <v>15</v>
      </c>
      <c r="D18">
        <v>4</v>
      </c>
      <c r="E18">
        <v>4</v>
      </c>
      <c r="F18">
        <v>3</v>
      </c>
      <c r="G18">
        <v>4</v>
      </c>
      <c r="H18">
        <v>3</v>
      </c>
      <c r="I18">
        <v>1</v>
      </c>
      <c r="J18">
        <v>4</v>
      </c>
      <c r="K18">
        <v>1</v>
      </c>
      <c r="L18">
        <v>8</v>
      </c>
      <c r="M18">
        <v>20</v>
      </c>
      <c r="N18" t="s">
        <v>94</v>
      </c>
      <c r="O18" t="s">
        <v>407</v>
      </c>
      <c r="P18" t="s">
        <v>79</v>
      </c>
      <c r="Q18" t="s">
        <v>44</v>
      </c>
      <c r="R18" t="s">
        <v>900</v>
      </c>
      <c r="S18" t="s">
        <v>60</v>
      </c>
      <c r="T18" t="s">
        <v>807</v>
      </c>
      <c r="U18" t="s">
        <v>901</v>
      </c>
      <c r="V18" t="s">
        <v>902</v>
      </c>
    </row>
    <row r="19" spans="1:22" ht="12.75">
      <c r="A19" t="s">
        <v>903</v>
      </c>
      <c r="B19">
        <v>30</v>
      </c>
      <c r="C19">
        <v>15</v>
      </c>
      <c r="D19">
        <v>4</v>
      </c>
      <c r="E19">
        <v>2</v>
      </c>
      <c r="F19">
        <v>2</v>
      </c>
      <c r="G19">
        <v>2</v>
      </c>
      <c r="H19">
        <v>3</v>
      </c>
      <c r="I19">
        <v>1</v>
      </c>
      <c r="J19">
        <v>4</v>
      </c>
      <c r="K19">
        <v>1</v>
      </c>
      <c r="L19">
        <v>7</v>
      </c>
      <c r="M19">
        <v>14</v>
      </c>
      <c r="N19" t="s">
        <v>552</v>
      </c>
      <c r="U19" t="s">
        <v>904</v>
      </c>
      <c r="V19" t="s">
        <v>905</v>
      </c>
    </row>
    <row r="20" spans="1:2" ht="12.75">
      <c r="A20" t="s">
        <v>912</v>
      </c>
      <c r="B20">
        <v>2002</v>
      </c>
    </row>
    <row r="21" spans="1:2" ht="12.75">
      <c r="A21" t="s">
        <v>913</v>
      </c>
      <c r="B21">
        <v>2002</v>
      </c>
    </row>
    <row r="22" spans="1:2" ht="12.75">
      <c r="A22" t="s">
        <v>914</v>
      </c>
      <c r="B22" t="s">
        <v>918</v>
      </c>
    </row>
    <row r="23" spans="1:2" ht="12.75">
      <c r="A23" t="s">
        <v>915</v>
      </c>
      <c r="B23" t="s">
        <v>918</v>
      </c>
    </row>
    <row r="24" spans="1:2" ht="12.75">
      <c r="A24" t="s">
        <v>916</v>
      </c>
      <c r="B24" t="s">
        <v>918</v>
      </c>
    </row>
    <row r="25" spans="1:2" ht="12.75">
      <c r="A25" t="s">
        <v>917</v>
      </c>
      <c r="B25" t="s">
        <v>919</v>
      </c>
    </row>
    <row r="32" spans="1:23" ht="12.75">
      <c r="A32" s="14" t="s">
        <v>597</v>
      </c>
      <c r="B32" s="14" t="s">
        <v>570</v>
      </c>
      <c r="C32" s="14" t="s">
        <v>571</v>
      </c>
      <c r="D32" s="14" t="s">
        <v>7</v>
      </c>
      <c r="E32" s="14" t="s">
        <v>8</v>
      </c>
      <c r="F32" s="14" t="s">
        <v>9</v>
      </c>
      <c r="G32" s="14" t="s">
        <v>10</v>
      </c>
      <c r="H32" s="14" t="s">
        <v>11</v>
      </c>
      <c r="I32" s="14" t="s">
        <v>12</v>
      </c>
      <c r="J32" s="14" t="s">
        <v>13</v>
      </c>
      <c r="K32" s="14" t="s">
        <v>14</v>
      </c>
      <c r="L32" s="14" t="s">
        <v>118</v>
      </c>
      <c r="M32" s="14" t="s">
        <v>572</v>
      </c>
      <c r="N32" s="14" t="s">
        <v>687</v>
      </c>
      <c r="O32" s="14" t="s">
        <v>688</v>
      </c>
      <c r="P32" s="14" t="s">
        <v>689</v>
      </c>
      <c r="Q32" s="14" t="s">
        <v>690</v>
      </c>
      <c r="R32" s="14" t="s">
        <v>691</v>
      </c>
      <c r="S32" s="14" t="s">
        <v>692</v>
      </c>
      <c r="T32" s="14" t="s">
        <v>693</v>
      </c>
      <c r="U32" s="14" t="s">
        <v>575</v>
      </c>
      <c r="V32" s="14" t="s">
        <v>574</v>
      </c>
      <c r="W32" s="14" t="s">
        <v>722</v>
      </c>
    </row>
    <row r="33" spans="1:23" ht="12.75">
      <c r="A33" t="s">
        <v>716</v>
      </c>
      <c r="B33">
        <v>150</v>
      </c>
      <c r="C33" t="s">
        <v>888</v>
      </c>
      <c r="D33">
        <v>5</v>
      </c>
      <c r="E33">
        <v>8</v>
      </c>
      <c r="F33">
        <v>4</v>
      </c>
      <c r="G33">
        <v>4</v>
      </c>
      <c r="H33">
        <v>3</v>
      </c>
      <c r="I33">
        <v>2</v>
      </c>
      <c r="J33">
        <v>7</v>
      </c>
      <c r="K33">
        <v>3</v>
      </c>
      <c r="L33">
        <v>8</v>
      </c>
      <c r="M33">
        <v>100</v>
      </c>
      <c r="N33" t="s">
        <v>718</v>
      </c>
      <c r="O33" t="s">
        <v>666</v>
      </c>
      <c r="S33" t="s">
        <v>65</v>
      </c>
      <c r="T33" t="s">
        <v>717</v>
      </c>
      <c r="U33" t="s">
        <v>723</v>
      </c>
      <c r="V33" t="s">
        <v>724</v>
      </c>
      <c r="W33" t="s">
        <v>706</v>
      </c>
    </row>
    <row r="34" spans="1:23" ht="12.75">
      <c r="A34" t="s">
        <v>719</v>
      </c>
      <c r="B34">
        <v>70</v>
      </c>
      <c r="C34">
        <v>30</v>
      </c>
      <c r="D34">
        <v>4</v>
      </c>
      <c r="E34">
        <v>3</v>
      </c>
      <c r="F34">
        <v>6</v>
      </c>
      <c r="G34">
        <v>4</v>
      </c>
      <c r="H34">
        <v>3</v>
      </c>
      <c r="I34">
        <v>2</v>
      </c>
      <c r="J34">
        <v>6</v>
      </c>
      <c r="K34">
        <v>1</v>
      </c>
      <c r="L34">
        <v>7</v>
      </c>
      <c r="M34">
        <v>60</v>
      </c>
      <c r="N34" t="s">
        <v>94</v>
      </c>
      <c r="O34" t="s">
        <v>94</v>
      </c>
      <c r="P34" t="s">
        <v>429</v>
      </c>
      <c r="Q34" t="s">
        <v>720</v>
      </c>
      <c r="T34" t="s">
        <v>717</v>
      </c>
      <c r="U34" t="s">
        <v>721</v>
      </c>
      <c r="V34" t="s">
        <v>725</v>
      </c>
      <c r="W34" t="s">
        <v>706</v>
      </c>
    </row>
    <row r="35" spans="1:23" ht="12.75">
      <c r="A35" t="s">
        <v>732</v>
      </c>
      <c r="B35" t="s">
        <v>726</v>
      </c>
      <c r="C35" t="s">
        <v>726</v>
      </c>
      <c r="D35">
        <v>4</v>
      </c>
      <c r="E35">
        <v>5</v>
      </c>
      <c r="F35">
        <v>3</v>
      </c>
      <c r="G35">
        <v>4</v>
      </c>
      <c r="H35">
        <v>4</v>
      </c>
      <c r="I35">
        <v>2</v>
      </c>
      <c r="J35">
        <v>4</v>
      </c>
      <c r="K35">
        <v>3</v>
      </c>
      <c r="L35">
        <v>10</v>
      </c>
      <c r="M35">
        <v>105</v>
      </c>
      <c r="N35" t="s">
        <v>727</v>
      </c>
      <c r="O35" t="s">
        <v>727</v>
      </c>
      <c r="P35" t="s">
        <v>728</v>
      </c>
      <c r="Q35" t="s">
        <v>425</v>
      </c>
      <c r="S35" t="s">
        <v>60</v>
      </c>
      <c r="T35" t="s">
        <v>717</v>
      </c>
      <c r="U35" t="s">
        <v>730</v>
      </c>
      <c r="V35" t="s">
        <v>729</v>
      </c>
      <c r="W35" t="s">
        <v>731</v>
      </c>
    </row>
    <row r="36" spans="1:23" ht="12.75">
      <c r="A36" t="s">
        <v>733</v>
      </c>
      <c r="B36">
        <v>80</v>
      </c>
      <c r="C36">
        <v>35</v>
      </c>
      <c r="D36">
        <v>5</v>
      </c>
      <c r="E36">
        <v>5</v>
      </c>
      <c r="F36">
        <v>4</v>
      </c>
      <c r="G36">
        <v>4</v>
      </c>
      <c r="H36">
        <v>4</v>
      </c>
      <c r="I36">
        <v>2</v>
      </c>
      <c r="J36">
        <v>5</v>
      </c>
      <c r="K36">
        <v>4</v>
      </c>
      <c r="L36">
        <v>8</v>
      </c>
      <c r="M36">
        <v>70</v>
      </c>
      <c r="N36" t="s">
        <v>734</v>
      </c>
      <c r="O36" t="s">
        <v>100</v>
      </c>
      <c r="S36" t="s">
        <v>736</v>
      </c>
      <c r="T36" t="s">
        <v>717</v>
      </c>
      <c r="V36" t="s">
        <v>735</v>
      </c>
      <c r="W36" t="s">
        <v>109</v>
      </c>
    </row>
    <row r="37" spans="1:23" ht="12.75">
      <c r="A37" t="s">
        <v>883</v>
      </c>
      <c r="B37">
        <v>15</v>
      </c>
      <c r="C37" t="s">
        <v>888</v>
      </c>
      <c r="D37">
        <v>4</v>
      </c>
      <c r="E37">
        <v>5</v>
      </c>
      <c r="F37">
        <v>4</v>
      </c>
      <c r="G37">
        <v>3</v>
      </c>
      <c r="H37">
        <v>3</v>
      </c>
      <c r="I37">
        <v>2</v>
      </c>
      <c r="J37">
        <v>5</v>
      </c>
      <c r="K37">
        <v>2</v>
      </c>
      <c r="L37">
        <v>8</v>
      </c>
      <c r="M37">
        <v>30</v>
      </c>
      <c r="N37" t="s">
        <v>94</v>
      </c>
      <c r="O37" t="s">
        <v>429</v>
      </c>
      <c r="S37" t="s">
        <v>69</v>
      </c>
      <c r="T37" t="s">
        <v>717</v>
      </c>
      <c r="U37" t="s">
        <v>884</v>
      </c>
      <c r="V37" t="s">
        <v>889</v>
      </c>
      <c r="W37" t="s">
        <v>890</v>
      </c>
    </row>
    <row r="38" spans="1:23" ht="12.75">
      <c r="A38" t="s">
        <v>885</v>
      </c>
      <c r="B38">
        <v>15</v>
      </c>
      <c r="C38" t="s">
        <v>888</v>
      </c>
      <c r="D38">
        <v>4</v>
      </c>
      <c r="E38">
        <v>4</v>
      </c>
      <c r="F38">
        <v>4</v>
      </c>
      <c r="G38">
        <v>4</v>
      </c>
      <c r="H38">
        <v>3</v>
      </c>
      <c r="I38">
        <v>2</v>
      </c>
      <c r="J38">
        <v>4</v>
      </c>
      <c r="K38">
        <v>2</v>
      </c>
      <c r="L38">
        <v>7</v>
      </c>
      <c r="M38">
        <v>30</v>
      </c>
      <c r="N38" t="s">
        <v>886</v>
      </c>
      <c r="S38" t="s">
        <v>69</v>
      </c>
      <c r="T38" t="s">
        <v>717</v>
      </c>
      <c r="U38" t="s">
        <v>887</v>
      </c>
      <c r="V38" t="s">
        <v>889</v>
      </c>
      <c r="W38" t="s">
        <v>890</v>
      </c>
    </row>
    <row r="39" spans="1:2" ht="12.75">
      <c r="A39" t="s">
        <v>920</v>
      </c>
      <c r="B39">
        <v>2002</v>
      </c>
    </row>
    <row r="40" spans="1:2" ht="12.75">
      <c r="A40" t="s">
        <v>921</v>
      </c>
      <c r="B40" t="s">
        <v>919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56"/>
  <sheetViews>
    <sheetView workbookViewId="0" topLeftCell="A1">
      <selection activeCell="F32" sqref="F32"/>
    </sheetView>
  </sheetViews>
  <sheetFormatPr defaultColWidth="9.140625" defaultRowHeight="12.75"/>
  <cols>
    <col min="2" max="2" width="22.00390625" style="0" bestFit="1" customWidth="1"/>
    <col min="7" max="7" width="9.28125" style="0" bestFit="1" customWidth="1"/>
  </cols>
  <sheetData>
    <row r="2" spans="2:10" ht="12.75">
      <c r="B2" t="s">
        <v>759</v>
      </c>
      <c r="C2">
        <v>1</v>
      </c>
      <c r="G2" t="s">
        <v>994</v>
      </c>
      <c r="H2" t="s">
        <v>1294</v>
      </c>
      <c r="J2" t="s">
        <v>1002</v>
      </c>
    </row>
    <row r="3" spans="2:10" ht="12.75">
      <c r="B3" t="s">
        <v>760</v>
      </c>
      <c r="C3">
        <v>1</v>
      </c>
      <c r="G3" t="s">
        <v>995</v>
      </c>
      <c r="H3" t="s">
        <v>1295</v>
      </c>
      <c r="J3" t="s">
        <v>1008</v>
      </c>
    </row>
    <row r="4" spans="2:3" ht="12.75">
      <c r="B4" t="s">
        <v>1270</v>
      </c>
      <c r="C4">
        <v>0</v>
      </c>
    </row>
    <row r="5" spans="2:10" ht="12.75">
      <c r="B5" t="s">
        <v>761</v>
      </c>
      <c r="C5">
        <v>1</v>
      </c>
      <c r="J5" t="s">
        <v>1305</v>
      </c>
    </row>
    <row r="6" spans="2:10" ht="12.75">
      <c r="B6" t="s">
        <v>1271</v>
      </c>
      <c r="C6">
        <v>1</v>
      </c>
      <c r="J6" t="s">
        <v>1306</v>
      </c>
    </row>
    <row r="7" spans="2:3" ht="12.75">
      <c r="B7" t="s">
        <v>990</v>
      </c>
      <c r="C7">
        <v>1</v>
      </c>
    </row>
    <row r="8" spans="2:3" ht="12.75">
      <c r="B8" t="s">
        <v>762</v>
      </c>
      <c r="C8">
        <v>1</v>
      </c>
    </row>
    <row r="9" spans="2:3" ht="12.75">
      <c r="B9" t="s">
        <v>763</v>
      </c>
      <c r="C9">
        <v>1</v>
      </c>
    </row>
    <row r="10" spans="2:3" ht="12.75">
      <c r="B10" t="s">
        <v>1272</v>
      </c>
      <c r="C10">
        <v>1</v>
      </c>
    </row>
    <row r="11" spans="2:3" ht="12.75">
      <c r="B11" t="s">
        <v>989</v>
      </c>
      <c r="C11">
        <v>1</v>
      </c>
    </row>
    <row r="12" spans="2:3" ht="12.75">
      <c r="B12" t="s">
        <v>1273</v>
      </c>
      <c r="C12">
        <v>1</v>
      </c>
    </row>
    <row r="13" spans="2:3" ht="12.75">
      <c r="B13" t="s">
        <v>1291</v>
      </c>
      <c r="C13">
        <v>1</v>
      </c>
    </row>
    <row r="14" spans="2:3" ht="12.75">
      <c r="B14" t="s">
        <v>1274</v>
      </c>
      <c r="C14">
        <v>3</v>
      </c>
    </row>
    <row r="15" spans="2:3" ht="12.75">
      <c r="B15" t="s">
        <v>764</v>
      </c>
      <c r="C15">
        <v>1</v>
      </c>
    </row>
    <row r="16" spans="2:3" ht="12.75">
      <c r="B16" t="s">
        <v>765</v>
      </c>
      <c r="C16">
        <v>1</v>
      </c>
    </row>
    <row r="17" spans="2:3" ht="12.75">
      <c r="B17" t="s">
        <v>766</v>
      </c>
      <c r="C17">
        <v>1</v>
      </c>
    </row>
    <row r="18" spans="2:3" ht="12.75">
      <c r="B18" t="s">
        <v>767</v>
      </c>
      <c r="C18">
        <v>1</v>
      </c>
    </row>
    <row r="19" spans="2:3" ht="12.75">
      <c r="B19" t="s">
        <v>768</v>
      </c>
      <c r="C19">
        <v>1</v>
      </c>
    </row>
    <row r="20" spans="2:3" ht="12.75">
      <c r="B20" t="s">
        <v>769</v>
      </c>
      <c r="C20">
        <v>2</v>
      </c>
    </row>
    <row r="21" spans="2:3" ht="12.75">
      <c r="B21" t="s">
        <v>1275</v>
      </c>
      <c r="C21">
        <v>2</v>
      </c>
    </row>
    <row r="22" spans="2:3" ht="12.75">
      <c r="B22" t="s">
        <v>770</v>
      </c>
      <c r="C22">
        <v>2</v>
      </c>
    </row>
    <row r="23" spans="2:3" ht="12.75">
      <c r="B23" t="s">
        <v>1276</v>
      </c>
      <c r="C23">
        <v>1</v>
      </c>
    </row>
    <row r="24" spans="2:3" ht="12.75">
      <c r="B24" t="s">
        <v>771</v>
      </c>
      <c r="C24">
        <v>1</v>
      </c>
    </row>
    <row r="25" spans="2:3" ht="12.75">
      <c r="B25" t="s">
        <v>772</v>
      </c>
      <c r="C25">
        <v>2</v>
      </c>
    </row>
    <row r="26" spans="2:3" ht="12.75">
      <c r="B26" t="s">
        <v>1277</v>
      </c>
      <c r="C26">
        <v>0</v>
      </c>
    </row>
    <row r="27" spans="2:3" ht="12.75">
      <c r="B27" t="s">
        <v>773</v>
      </c>
      <c r="C27">
        <v>1</v>
      </c>
    </row>
    <row r="28" spans="2:3" ht="12.75">
      <c r="B28" t="s">
        <v>1278</v>
      </c>
      <c r="C28">
        <v>1</v>
      </c>
    </row>
    <row r="29" spans="2:3" ht="12.75">
      <c r="B29" t="s">
        <v>986</v>
      </c>
      <c r="C29">
        <v>1</v>
      </c>
    </row>
    <row r="30" spans="2:3" ht="12.75">
      <c r="B30" t="s">
        <v>1279</v>
      </c>
      <c r="C30">
        <v>0</v>
      </c>
    </row>
    <row r="31" spans="2:3" ht="12.75">
      <c r="B31" t="s">
        <v>1280</v>
      </c>
      <c r="C31">
        <v>1</v>
      </c>
    </row>
    <row r="32" spans="2:3" ht="12.75">
      <c r="B32" t="s">
        <v>774</v>
      </c>
      <c r="C32">
        <v>1</v>
      </c>
    </row>
    <row r="33" spans="2:3" ht="12.75">
      <c r="B33" t="s">
        <v>775</v>
      </c>
      <c r="C33">
        <v>1</v>
      </c>
    </row>
    <row r="34" spans="2:3" ht="12.75">
      <c r="B34" t="s">
        <v>1281</v>
      </c>
      <c r="C34">
        <v>1</v>
      </c>
    </row>
    <row r="35" spans="2:3" ht="12.75">
      <c r="B35" t="s">
        <v>1282</v>
      </c>
      <c r="C35">
        <v>1</v>
      </c>
    </row>
    <row r="36" spans="2:3" ht="12.75">
      <c r="B36" t="s">
        <v>1283</v>
      </c>
      <c r="C36">
        <v>1</v>
      </c>
    </row>
    <row r="37" spans="2:3" ht="12.75">
      <c r="B37" t="s">
        <v>1284</v>
      </c>
      <c r="C37">
        <v>1</v>
      </c>
    </row>
    <row r="38" spans="2:3" ht="12.75">
      <c r="B38" t="s">
        <v>776</v>
      </c>
      <c r="C38">
        <v>1</v>
      </c>
    </row>
    <row r="39" spans="2:3" ht="12.75">
      <c r="B39" t="s">
        <v>777</v>
      </c>
      <c r="C39">
        <v>1</v>
      </c>
    </row>
    <row r="40" spans="2:3" ht="12.75">
      <c r="B40" t="s">
        <v>1285</v>
      </c>
      <c r="C40">
        <v>0</v>
      </c>
    </row>
    <row r="41" spans="2:3" ht="12.75">
      <c r="B41" t="s">
        <v>1286</v>
      </c>
      <c r="C41">
        <v>1</v>
      </c>
    </row>
    <row r="42" spans="2:3" ht="12.75">
      <c r="B42" t="s">
        <v>1287</v>
      </c>
      <c r="C42">
        <v>1</v>
      </c>
    </row>
    <row r="43" spans="2:3" ht="12.75">
      <c r="B43" t="s">
        <v>988</v>
      </c>
      <c r="C43">
        <v>1</v>
      </c>
    </row>
    <row r="44" spans="2:3" ht="12.75">
      <c r="B44" t="s">
        <v>778</v>
      </c>
      <c r="C44">
        <v>1</v>
      </c>
    </row>
    <row r="45" spans="2:3" ht="12.75">
      <c r="B45" t="s">
        <v>1288</v>
      </c>
      <c r="C45">
        <v>0</v>
      </c>
    </row>
    <row r="46" spans="2:3" ht="12.75">
      <c r="B46" t="s">
        <v>779</v>
      </c>
      <c r="C46">
        <v>1</v>
      </c>
    </row>
    <row r="47" spans="2:3" ht="12.75">
      <c r="B47" t="s">
        <v>780</v>
      </c>
      <c r="C47">
        <v>2</v>
      </c>
    </row>
    <row r="48" spans="2:3" ht="12.75">
      <c r="B48" t="s">
        <v>1289</v>
      </c>
      <c r="C48">
        <v>0</v>
      </c>
    </row>
    <row r="49" spans="2:3" ht="12.75">
      <c r="B49" t="s">
        <v>781</v>
      </c>
      <c r="C49">
        <v>1</v>
      </c>
    </row>
    <row r="50" spans="2:3" ht="12.75">
      <c r="B50" t="s">
        <v>782</v>
      </c>
      <c r="C50">
        <v>1</v>
      </c>
    </row>
    <row r="51" spans="2:3" ht="12.75">
      <c r="B51" t="s">
        <v>783</v>
      </c>
      <c r="C51">
        <v>5</v>
      </c>
    </row>
    <row r="52" spans="2:3" ht="12.75">
      <c r="B52" t="s">
        <v>784</v>
      </c>
      <c r="C52">
        <v>2</v>
      </c>
    </row>
    <row r="53" spans="2:3" ht="12.75">
      <c r="B53" t="s">
        <v>785</v>
      </c>
      <c r="C53">
        <v>1</v>
      </c>
    </row>
    <row r="54" spans="2:3" ht="12.75">
      <c r="B54" t="s">
        <v>987</v>
      </c>
      <c r="C54">
        <v>1</v>
      </c>
    </row>
    <row r="55" spans="2:3" ht="12.75">
      <c r="B55" t="s">
        <v>786</v>
      </c>
      <c r="C55">
        <v>4</v>
      </c>
    </row>
    <row r="56" spans="2:3" ht="12.75">
      <c r="B56" t="s">
        <v>1290</v>
      </c>
      <c r="C56">
        <v>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A1:F718"/>
  <sheetViews>
    <sheetView workbookViewId="0" topLeftCell="A676">
      <selection activeCell="A693" sqref="A693:A718"/>
    </sheetView>
  </sheetViews>
  <sheetFormatPr defaultColWidth="9.140625" defaultRowHeight="12.75"/>
  <cols>
    <col min="1" max="1" width="57.7109375" style="0" bestFit="1" customWidth="1"/>
    <col min="2" max="2" width="43.00390625" style="0" bestFit="1" customWidth="1"/>
    <col min="3" max="3" width="27.8515625" style="0" bestFit="1" customWidth="1"/>
    <col min="4" max="4" width="24.8515625" style="0" bestFit="1" customWidth="1"/>
    <col min="5" max="5" width="21.00390625" style="0" bestFit="1" customWidth="1"/>
    <col min="6" max="6" width="43.00390625" style="0" bestFit="1" customWidth="1"/>
  </cols>
  <sheetData>
    <row r="1" ht="12.75">
      <c r="A1" s="14" t="s">
        <v>104</v>
      </c>
    </row>
    <row r="2" spans="1:4" ht="12.75">
      <c r="A2" s="14" t="s">
        <v>417</v>
      </c>
      <c r="B2" s="14" t="s">
        <v>420</v>
      </c>
      <c r="C2" s="14" t="s">
        <v>418</v>
      </c>
      <c r="D2" s="14" t="s">
        <v>419</v>
      </c>
    </row>
    <row r="3" spans="1:4" ht="12.75">
      <c r="A3" t="s">
        <v>32</v>
      </c>
      <c r="B3" t="s">
        <v>32</v>
      </c>
      <c r="C3" t="s">
        <v>128</v>
      </c>
      <c r="D3" t="s">
        <v>32</v>
      </c>
    </row>
    <row r="4" spans="1:4" ht="12.75">
      <c r="A4" t="s">
        <v>34</v>
      </c>
      <c r="B4" t="s">
        <v>34</v>
      </c>
      <c r="C4" t="s">
        <v>126</v>
      </c>
      <c r="D4" t="s">
        <v>34</v>
      </c>
    </row>
    <row r="5" spans="1:4" ht="12.75">
      <c r="A5" t="s">
        <v>41</v>
      </c>
      <c r="B5" t="s">
        <v>407</v>
      </c>
      <c r="C5" t="s">
        <v>124</v>
      </c>
      <c r="D5" t="s">
        <v>41</v>
      </c>
    </row>
    <row r="6" spans="1:4" ht="12.75">
      <c r="A6" t="s">
        <v>407</v>
      </c>
      <c r="B6" t="s">
        <v>411</v>
      </c>
      <c r="C6" t="s">
        <v>131</v>
      </c>
      <c r="D6" t="s">
        <v>407</v>
      </c>
    </row>
    <row r="7" spans="1:4" ht="12.75">
      <c r="A7" t="s">
        <v>411</v>
      </c>
      <c r="B7" t="s">
        <v>53</v>
      </c>
      <c r="C7" t="s">
        <v>125</v>
      </c>
      <c r="D7" t="s">
        <v>411</v>
      </c>
    </row>
    <row r="8" spans="1:4" ht="12.75">
      <c r="A8" t="s">
        <v>409</v>
      </c>
      <c r="B8" t="s">
        <v>409</v>
      </c>
      <c r="C8" t="s">
        <v>132</v>
      </c>
      <c r="D8" t="s">
        <v>409</v>
      </c>
    </row>
    <row r="9" spans="1:4" ht="12.75">
      <c r="A9" t="s">
        <v>60</v>
      </c>
      <c r="B9" t="s">
        <v>60</v>
      </c>
      <c r="C9" t="s">
        <v>130</v>
      </c>
      <c r="D9" t="s">
        <v>60</v>
      </c>
    </row>
    <row r="10" spans="1:4" ht="12.75">
      <c r="A10" t="s">
        <v>596</v>
      </c>
      <c r="B10" t="s">
        <v>596</v>
      </c>
      <c r="C10" t="s">
        <v>129</v>
      </c>
      <c r="D10" t="s">
        <v>596</v>
      </c>
    </row>
    <row r="11" spans="1:4" ht="12.75">
      <c r="A11" t="s">
        <v>61</v>
      </c>
      <c r="B11" t="s">
        <v>61</v>
      </c>
      <c r="C11" t="s">
        <v>127</v>
      </c>
      <c r="D11" t="s">
        <v>61</v>
      </c>
    </row>
    <row r="12" spans="1:4" ht="12.75">
      <c r="A12" t="s">
        <v>69</v>
      </c>
      <c r="B12" t="s">
        <v>69</v>
      </c>
      <c r="D12" t="s">
        <v>69</v>
      </c>
    </row>
    <row r="13" spans="1:4" ht="12.75">
      <c r="A13" t="s">
        <v>595</v>
      </c>
      <c r="B13" t="s">
        <v>595</v>
      </c>
      <c r="D13" t="s">
        <v>595</v>
      </c>
    </row>
    <row r="14" spans="1:4" ht="12.75">
      <c r="A14" t="s">
        <v>410</v>
      </c>
      <c r="B14" t="s">
        <v>410</v>
      </c>
      <c r="D14" t="s">
        <v>410</v>
      </c>
    </row>
    <row r="15" spans="1:4" ht="12.75">
      <c r="A15" t="s">
        <v>85</v>
      </c>
      <c r="B15" t="s">
        <v>85</v>
      </c>
      <c r="D15" t="s">
        <v>128</v>
      </c>
    </row>
    <row r="16" spans="1:4" ht="12.75">
      <c r="A16" t="s">
        <v>86</v>
      </c>
      <c r="B16" t="s">
        <v>94</v>
      </c>
      <c r="D16" t="s">
        <v>126</v>
      </c>
    </row>
    <row r="17" spans="1:4" ht="12.75">
      <c r="A17" t="s">
        <v>94</v>
      </c>
      <c r="D17" t="s">
        <v>124</v>
      </c>
    </row>
    <row r="18" ht="12.75">
      <c r="D18" t="s">
        <v>131</v>
      </c>
    </row>
    <row r="19" ht="12.75">
      <c r="D19" t="s">
        <v>125</v>
      </c>
    </row>
    <row r="20" ht="12.75">
      <c r="D20" t="s">
        <v>132</v>
      </c>
    </row>
    <row r="21" ht="12.75">
      <c r="D21" t="s">
        <v>130</v>
      </c>
    </row>
    <row r="22" ht="12.75">
      <c r="D22" t="s">
        <v>129</v>
      </c>
    </row>
    <row r="23" ht="12.75">
      <c r="D23" t="s">
        <v>127</v>
      </c>
    </row>
    <row r="24" ht="12.75">
      <c r="D24" t="s">
        <v>85</v>
      </c>
    </row>
    <row r="25" ht="12.75">
      <c r="D25" t="s">
        <v>86</v>
      </c>
    </row>
    <row r="26" ht="12.75">
      <c r="D26" t="s">
        <v>94</v>
      </c>
    </row>
    <row r="28" ht="12.75">
      <c r="A28" s="14" t="s">
        <v>601</v>
      </c>
    </row>
    <row r="29" spans="1:5" ht="12.75">
      <c r="A29" s="14" t="s">
        <v>412</v>
      </c>
      <c r="B29" s="14" t="s">
        <v>413</v>
      </c>
      <c r="C29" s="14" t="s">
        <v>1251</v>
      </c>
      <c r="D29" s="14" t="s">
        <v>1258</v>
      </c>
      <c r="E29" s="14" t="s">
        <v>1265</v>
      </c>
    </row>
    <row r="30" spans="1:5" ht="12.75">
      <c r="A30" t="s">
        <v>32</v>
      </c>
      <c r="B30" t="s">
        <v>32</v>
      </c>
      <c r="C30" t="s">
        <v>407</v>
      </c>
      <c r="D30" t="s">
        <v>407</v>
      </c>
      <c r="E30" t="s">
        <v>1266</v>
      </c>
    </row>
    <row r="31" spans="1:4" ht="12.75">
      <c r="A31" t="s">
        <v>34</v>
      </c>
      <c r="B31" t="s">
        <v>34</v>
      </c>
      <c r="C31" t="s">
        <v>32</v>
      </c>
      <c r="D31" t="s">
        <v>32</v>
      </c>
    </row>
    <row r="32" spans="1:4" ht="12.75">
      <c r="A32" t="s">
        <v>41</v>
      </c>
      <c r="B32" t="s">
        <v>39</v>
      </c>
      <c r="C32" t="s">
        <v>1253</v>
      </c>
      <c r="D32" t="s">
        <v>1263</v>
      </c>
    </row>
    <row r="33" spans="1:4" ht="12.75">
      <c r="A33" t="s">
        <v>43</v>
      </c>
      <c r="B33" t="s">
        <v>44</v>
      </c>
      <c r="D33" t="s">
        <v>409</v>
      </c>
    </row>
    <row r="34" spans="1:4" ht="12.75">
      <c r="A34" t="s">
        <v>44</v>
      </c>
      <c r="B34" t="s">
        <v>407</v>
      </c>
      <c r="D34" t="s">
        <v>410</v>
      </c>
    </row>
    <row r="35" spans="1:4" ht="12.75">
      <c r="A35" t="s">
        <v>407</v>
      </c>
      <c r="B35" t="s">
        <v>409</v>
      </c>
      <c r="D35" t="s">
        <v>415</v>
      </c>
    </row>
    <row r="36" spans="1:4" ht="12.75">
      <c r="A36" t="s">
        <v>411</v>
      </c>
      <c r="B36" t="s">
        <v>59</v>
      </c>
      <c r="D36" t="s">
        <v>53</v>
      </c>
    </row>
    <row r="37" spans="1:4" ht="12.75">
      <c r="A37" t="s">
        <v>48</v>
      </c>
      <c r="B37" t="s">
        <v>61</v>
      </c>
      <c r="D37" t="s">
        <v>74</v>
      </c>
    </row>
    <row r="38" spans="1:4" ht="12.75">
      <c r="A38" t="s">
        <v>49</v>
      </c>
      <c r="B38" t="s">
        <v>408</v>
      </c>
      <c r="D38" t="s">
        <v>411</v>
      </c>
    </row>
    <row r="39" spans="1:2" ht="12.75">
      <c r="A39" t="s">
        <v>57</v>
      </c>
      <c r="B39" t="s">
        <v>69</v>
      </c>
    </row>
    <row r="40" spans="1:2" ht="12.75">
      <c r="A40" t="s">
        <v>409</v>
      </c>
      <c r="B40" t="s">
        <v>595</v>
      </c>
    </row>
    <row r="41" spans="1:2" ht="12.75">
      <c r="A41" t="s">
        <v>60</v>
      </c>
      <c r="B41" t="s">
        <v>71</v>
      </c>
    </row>
    <row r="42" spans="1:2" ht="12.75">
      <c r="A42" t="s">
        <v>596</v>
      </c>
      <c r="B42" t="s">
        <v>410</v>
      </c>
    </row>
    <row r="43" spans="1:2" ht="12.75">
      <c r="A43" t="s">
        <v>61</v>
      </c>
      <c r="B43" s="23" t="s">
        <v>79</v>
      </c>
    </row>
    <row r="44" spans="1:2" ht="12.75">
      <c r="A44" t="s">
        <v>69</v>
      </c>
      <c r="B44" t="s">
        <v>80</v>
      </c>
    </row>
    <row r="45" spans="1:2" ht="12.75">
      <c r="A45" t="s">
        <v>595</v>
      </c>
      <c r="B45" t="s">
        <v>85</v>
      </c>
    </row>
    <row r="46" spans="1:2" ht="12.75">
      <c r="A46" t="s">
        <v>410</v>
      </c>
      <c r="B46" t="s">
        <v>94</v>
      </c>
    </row>
    <row r="47" ht="12.75">
      <c r="A47" t="s">
        <v>74</v>
      </c>
    </row>
    <row r="48" ht="12.75">
      <c r="A48" t="s">
        <v>79</v>
      </c>
    </row>
    <row r="49" ht="12.75">
      <c r="A49" t="s">
        <v>80</v>
      </c>
    </row>
    <row r="50" ht="12.75">
      <c r="A50" t="s">
        <v>85</v>
      </c>
    </row>
    <row r="51" ht="12.75">
      <c r="A51" t="s">
        <v>89</v>
      </c>
    </row>
    <row r="52" ht="12.75">
      <c r="A52" t="s">
        <v>94</v>
      </c>
    </row>
    <row r="54" ht="12.75">
      <c r="A54" t="s">
        <v>108</v>
      </c>
    </row>
    <row r="55" spans="1:2" ht="12.75">
      <c r="A55" s="14" t="s">
        <v>421</v>
      </c>
      <c r="B55" s="14" t="s">
        <v>422</v>
      </c>
    </row>
    <row r="56" spans="1:2" ht="12.75">
      <c r="A56" t="s">
        <v>32</v>
      </c>
      <c r="B56" t="s">
        <v>32</v>
      </c>
    </row>
    <row r="57" spans="1:2" ht="12.75">
      <c r="A57" t="s">
        <v>43</v>
      </c>
      <c r="B57" t="s">
        <v>424</v>
      </c>
    </row>
    <row r="58" spans="1:2" ht="12.75">
      <c r="A58" t="s">
        <v>407</v>
      </c>
      <c r="B58" t="s">
        <v>43</v>
      </c>
    </row>
    <row r="59" spans="1:2" ht="12.75">
      <c r="A59" t="s">
        <v>411</v>
      </c>
      <c r="B59" t="s">
        <v>407</v>
      </c>
    </row>
    <row r="60" spans="1:2" ht="12.75">
      <c r="A60" t="s">
        <v>53</v>
      </c>
      <c r="B60" t="s">
        <v>411</v>
      </c>
    </row>
    <row r="61" spans="1:2" ht="12.75">
      <c r="A61" t="s">
        <v>409</v>
      </c>
      <c r="B61" t="s">
        <v>53</v>
      </c>
    </row>
    <row r="62" spans="1:2" ht="12.75">
      <c r="A62" t="s">
        <v>60</v>
      </c>
      <c r="B62" t="s">
        <v>409</v>
      </c>
    </row>
    <row r="63" spans="1:2" ht="12.75">
      <c r="A63" t="s">
        <v>596</v>
      </c>
      <c r="B63" t="s">
        <v>60</v>
      </c>
    </row>
    <row r="64" spans="1:2" ht="12.75">
      <c r="A64" t="s">
        <v>61</v>
      </c>
      <c r="B64" t="s">
        <v>596</v>
      </c>
    </row>
    <row r="65" spans="1:2" ht="12.75">
      <c r="A65" t="s">
        <v>69</v>
      </c>
      <c r="B65" t="s">
        <v>61</v>
      </c>
    </row>
    <row r="66" spans="1:2" ht="12.75">
      <c r="A66" t="s">
        <v>595</v>
      </c>
      <c r="B66" t="s">
        <v>425</v>
      </c>
    </row>
    <row r="67" spans="1:2" ht="12.75">
      <c r="A67" t="s">
        <v>410</v>
      </c>
      <c r="B67" t="s">
        <v>1049</v>
      </c>
    </row>
    <row r="68" spans="1:2" ht="12.75">
      <c r="A68" t="s">
        <v>85</v>
      </c>
      <c r="B68" t="s">
        <v>69</v>
      </c>
    </row>
    <row r="69" spans="1:2" ht="12.75">
      <c r="A69" t="s">
        <v>87</v>
      </c>
      <c r="B69" t="s">
        <v>595</v>
      </c>
    </row>
    <row r="70" spans="1:2" ht="12.75">
      <c r="A70" t="s">
        <v>88</v>
      </c>
      <c r="B70" t="s">
        <v>410</v>
      </c>
    </row>
    <row r="71" spans="1:2" ht="12.75">
      <c r="A71" t="s">
        <v>91</v>
      </c>
      <c r="B71" t="s">
        <v>85</v>
      </c>
    </row>
    <row r="72" ht="12.75">
      <c r="B72" t="s">
        <v>87</v>
      </c>
    </row>
    <row r="73" ht="12.75">
      <c r="B73" t="s">
        <v>88</v>
      </c>
    </row>
    <row r="74" ht="12.75">
      <c r="B74" t="s">
        <v>91</v>
      </c>
    </row>
    <row r="76" spans="1:2" ht="12.75">
      <c r="A76" s="14" t="s">
        <v>426</v>
      </c>
      <c r="B76" s="14" t="s">
        <v>427</v>
      </c>
    </row>
    <row r="77" spans="1:2" ht="12.75">
      <c r="A77" t="s">
        <v>32</v>
      </c>
      <c r="B77" t="s">
        <v>32</v>
      </c>
    </row>
    <row r="78" spans="1:2" ht="12.75">
      <c r="A78" t="s">
        <v>38</v>
      </c>
      <c r="B78" t="s">
        <v>415</v>
      </c>
    </row>
    <row r="79" spans="1:2" ht="12.75">
      <c r="A79" t="s">
        <v>407</v>
      </c>
      <c r="B79" t="s">
        <v>407</v>
      </c>
    </row>
    <row r="80" spans="1:2" ht="12.75">
      <c r="A80" t="s">
        <v>51</v>
      </c>
      <c r="B80" t="s">
        <v>61</v>
      </c>
    </row>
    <row r="81" spans="1:2" ht="12.75">
      <c r="A81" t="s">
        <v>53</v>
      </c>
      <c r="B81" t="s">
        <v>69</v>
      </c>
    </row>
    <row r="82" spans="1:2" ht="12.75">
      <c r="A82" t="s">
        <v>57</v>
      </c>
      <c r="B82" t="s">
        <v>595</v>
      </c>
    </row>
    <row r="83" spans="1:2" ht="12.75">
      <c r="A83" t="s">
        <v>61</v>
      </c>
      <c r="B83" t="s">
        <v>85</v>
      </c>
    </row>
    <row r="84" spans="1:2" ht="12.75">
      <c r="A84" t="s">
        <v>69</v>
      </c>
      <c r="B84" t="s">
        <v>88</v>
      </c>
    </row>
    <row r="85" spans="1:2" ht="12.75">
      <c r="A85" t="s">
        <v>595</v>
      </c>
      <c r="B85" t="s">
        <v>89</v>
      </c>
    </row>
    <row r="86" spans="1:2" ht="12.75">
      <c r="A86" t="s">
        <v>85</v>
      </c>
      <c r="B86" t="s">
        <v>94</v>
      </c>
    </row>
    <row r="87" ht="12.75">
      <c r="A87" t="s">
        <v>88</v>
      </c>
    </row>
    <row r="88" ht="12.75">
      <c r="A88" t="s">
        <v>89</v>
      </c>
    </row>
    <row r="89" ht="12.75">
      <c r="A89" t="s">
        <v>94</v>
      </c>
    </row>
    <row r="90" ht="12.75">
      <c r="A90" t="s">
        <v>428</v>
      </c>
    </row>
    <row r="91" ht="12.75">
      <c r="A91" t="s">
        <v>99</v>
      </c>
    </row>
    <row r="92" ht="12.75">
      <c r="A92" t="s">
        <v>100</v>
      </c>
    </row>
    <row r="93" ht="12.75">
      <c r="A93" t="s">
        <v>101</v>
      </c>
    </row>
    <row r="95" ht="12.75">
      <c r="A95" s="14" t="s">
        <v>431</v>
      </c>
    </row>
    <row r="96" ht="12.75">
      <c r="A96" t="s">
        <v>32</v>
      </c>
    </row>
    <row r="97" ht="12.75">
      <c r="A97" t="s">
        <v>34</v>
      </c>
    </row>
    <row r="98" ht="12.75">
      <c r="A98" t="s">
        <v>41</v>
      </c>
    </row>
    <row r="99" ht="12.75">
      <c r="A99" t="s">
        <v>407</v>
      </c>
    </row>
    <row r="100" ht="12.75">
      <c r="A100" t="s">
        <v>411</v>
      </c>
    </row>
    <row r="101" ht="12.75">
      <c r="A101" t="s">
        <v>57</v>
      </c>
    </row>
    <row r="102" ht="12.75">
      <c r="A102" t="s">
        <v>409</v>
      </c>
    </row>
    <row r="103" ht="12.75">
      <c r="A103" t="s">
        <v>60</v>
      </c>
    </row>
    <row r="104" ht="12.75">
      <c r="A104" t="s">
        <v>596</v>
      </c>
    </row>
    <row r="105" ht="12.75">
      <c r="A105" t="s">
        <v>61</v>
      </c>
    </row>
    <row r="106" ht="12.75">
      <c r="A106" t="s">
        <v>69</v>
      </c>
    </row>
    <row r="107" ht="12.75">
      <c r="A107" t="s">
        <v>595</v>
      </c>
    </row>
    <row r="108" ht="12.75">
      <c r="A108" t="s">
        <v>410</v>
      </c>
    </row>
    <row r="109" ht="12.75">
      <c r="A109" t="s">
        <v>85</v>
      </c>
    </row>
    <row r="110" ht="12.75">
      <c r="A110" t="s">
        <v>86</v>
      </c>
    </row>
    <row r="111" ht="12.75">
      <c r="A111" t="s">
        <v>89</v>
      </c>
    </row>
    <row r="112" ht="12.75">
      <c r="A112" t="s">
        <v>94</v>
      </c>
    </row>
    <row r="114" spans="1:3" ht="12.75">
      <c r="A114" s="14" t="s">
        <v>432</v>
      </c>
      <c r="B114" s="14" t="s">
        <v>433</v>
      </c>
      <c r="C114" s="14" t="s">
        <v>434</v>
      </c>
    </row>
    <row r="115" spans="1:3" ht="12.75">
      <c r="A115" t="s">
        <v>32</v>
      </c>
      <c r="B115" t="s">
        <v>32</v>
      </c>
      <c r="C115" t="s">
        <v>411</v>
      </c>
    </row>
    <row r="116" spans="1:3" ht="12.75">
      <c r="A116" t="s">
        <v>34</v>
      </c>
      <c r="B116" t="s">
        <v>34</v>
      </c>
      <c r="C116" t="s">
        <v>53</v>
      </c>
    </row>
    <row r="117" spans="1:3" ht="12.75">
      <c r="A117" t="s">
        <v>43</v>
      </c>
      <c r="B117" t="s">
        <v>41</v>
      </c>
      <c r="C117" t="s">
        <v>74</v>
      </c>
    </row>
    <row r="118" spans="1:2" ht="12.75">
      <c r="A118" t="s">
        <v>44</v>
      </c>
      <c r="B118" t="s">
        <v>407</v>
      </c>
    </row>
    <row r="119" spans="1:2" ht="12.75">
      <c r="A119" t="s">
        <v>45</v>
      </c>
      <c r="B119" t="s">
        <v>411</v>
      </c>
    </row>
    <row r="120" spans="1:2" ht="12.75">
      <c r="A120" t="s">
        <v>407</v>
      </c>
      <c r="B120" t="s">
        <v>409</v>
      </c>
    </row>
    <row r="121" spans="1:2" ht="12.75">
      <c r="A121" t="s">
        <v>411</v>
      </c>
      <c r="B121" t="s">
        <v>61</v>
      </c>
    </row>
    <row r="122" spans="1:2" ht="12.75">
      <c r="A122" t="s">
        <v>409</v>
      </c>
      <c r="B122" t="s">
        <v>69</v>
      </c>
    </row>
    <row r="123" spans="1:2" ht="12.75">
      <c r="A123" t="s">
        <v>60</v>
      </c>
      <c r="B123" t="s">
        <v>595</v>
      </c>
    </row>
    <row r="124" spans="1:2" ht="12.75">
      <c r="A124" t="s">
        <v>596</v>
      </c>
      <c r="B124" t="s">
        <v>410</v>
      </c>
    </row>
    <row r="125" spans="1:2" ht="12.75">
      <c r="A125" t="s">
        <v>61</v>
      </c>
      <c r="B125" t="s">
        <v>85</v>
      </c>
    </row>
    <row r="126" spans="1:2" ht="12.75">
      <c r="A126" t="s">
        <v>69</v>
      </c>
      <c r="B126" t="s">
        <v>86</v>
      </c>
    </row>
    <row r="127" spans="1:2" ht="12.75">
      <c r="A127" t="s">
        <v>595</v>
      </c>
      <c r="B127" t="s">
        <v>89</v>
      </c>
    </row>
    <row r="128" spans="1:2" ht="12.75">
      <c r="A128" t="s">
        <v>410</v>
      </c>
      <c r="B128" t="s">
        <v>94</v>
      </c>
    </row>
    <row r="129" ht="12.75">
      <c r="A129" t="s">
        <v>79</v>
      </c>
    </row>
    <row r="130" ht="12.75">
      <c r="A130" t="s">
        <v>80</v>
      </c>
    </row>
    <row r="131" ht="12.75">
      <c r="A131" t="s">
        <v>85</v>
      </c>
    </row>
    <row r="132" ht="12.75">
      <c r="A132" t="s">
        <v>94</v>
      </c>
    </row>
    <row r="135" ht="12.75">
      <c r="A135" t="s">
        <v>602</v>
      </c>
    </row>
    <row r="136" spans="1:4" ht="12.75">
      <c r="A136" s="14" t="s">
        <v>439</v>
      </c>
      <c r="B136" s="14" t="s">
        <v>437</v>
      </c>
      <c r="C136" s="14" t="s">
        <v>436</v>
      </c>
      <c r="D136" s="14" t="s">
        <v>435</v>
      </c>
    </row>
    <row r="137" spans="1:4" ht="12.75">
      <c r="A137" t="s">
        <v>32</v>
      </c>
      <c r="B137" t="s">
        <v>32</v>
      </c>
      <c r="C137" t="s">
        <v>32</v>
      </c>
      <c r="D137" t="s">
        <v>32</v>
      </c>
    </row>
    <row r="138" spans="1:4" ht="12.75">
      <c r="A138" t="s">
        <v>34</v>
      </c>
      <c r="B138" t="s">
        <v>41</v>
      </c>
      <c r="C138" t="s">
        <v>34</v>
      </c>
      <c r="D138" t="s">
        <v>41</v>
      </c>
    </row>
    <row r="139" spans="1:4" ht="12.75">
      <c r="A139" t="s">
        <v>41</v>
      </c>
      <c r="B139" t="s">
        <v>43</v>
      </c>
      <c r="C139" t="s">
        <v>39</v>
      </c>
      <c r="D139" t="s">
        <v>43</v>
      </c>
    </row>
    <row r="140" spans="1:4" ht="12.75">
      <c r="A140" t="s">
        <v>43</v>
      </c>
      <c r="B140" t="s">
        <v>407</v>
      </c>
      <c r="C140" t="s">
        <v>43</v>
      </c>
      <c r="D140" t="s">
        <v>407</v>
      </c>
    </row>
    <row r="141" spans="1:4" ht="12.75">
      <c r="A141" t="s">
        <v>44</v>
      </c>
      <c r="B141" t="s">
        <v>409</v>
      </c>
      <c r="C141" t="s">
        <v>44</v>
      </c>
      <c r="D141" t="s">
        <v>409</v>
      </c>
    </row>
    <row r="142" spans="1:4" ht="12.75">
      <c r="A142" t="s">
        <v>407</v>
      </c>
      <c r="B142" t="s">
        <v>61</v>
      </c>
      <c r="C142" t="s">
        <v>407</v>
      </c>
      <c r="D142" t="s">
        <v>61</v>
      </c>
    </row>
    <row r="143" spans="1:4" ht="12.75">
      <c r="A143" t="s">
        <v>411</v>
      </c>
      <c r="B143" t="s">
        <v>1051</v>
      </c>
      <c r="C143" t="s">
        <v>409</v>
      </c>
      <c r="D143" t="s">
        <v>69</v>
      </c>
    </row>
    <row r="144" spans="1:4" ht="12.75">
      <c r="A144" t="s">
        <v>48</v>
      </c>
      <c r="B144" t="s">
        <v>69</v>
      </c>
      <c r="C144" t="s">
        <v>59</v>
      </c>
      <c r="D144" t="s">
        <v>595</v>
      </c>
    </row>
    <row r="145" spans="1:4" ht="12.75">
      <c r="A145" t="s">
        <v>49</v>
      </c>
      <c r="B145" t="s">
        <v>71</v>
      </c>
      <c r="C145" t="s">
        <v>61</v>
      </c>
      <c r="D145" t="s">
        <v>410</v>
      </c>
    </row>
    <row r="146" spans="1:4" ht="12.75">
      <c r="A146" t="s">
        <v>57</v>
      </c>
      <c r="B146" t="s">
        <v>410</v>
      </c>
      <c r="C146" t="s">
        <v>408</v>
      </c>
      <c r="D146" t="s">
        <v>94</v>
      </c>
    </row>
    <row r="147" spans="1:3" ht="12.75">
      <c r="A147" t="s">
        <v>409</v>
      </c>
      <c r="B147" t="s">
        <v>94</v>
      </c>
      <c r="C147" t="s">
        <v>69</v>
      </c>
    </row>
    <row r="148" spans="1:3" ht="12.75">
      <c r="A148" t="s">
        <v>60</v>
      </c>
      <c r="C148" t="s">
        <v>71</v>
      </c>
    </row>
    <row r="149" spans="1:3" ht="12.75">
      <c r="A149" t="s">
        <v>596</v>
      </c>
      <c r="C149" t="s">
        <v>410</v>
      </c>
    </row>
    <row r="150" spans="1:3" ht="12.75">
      <c r="A150" t="s">
        <v>61</v>
      </c>
      <c r="C150" s="23" t="s">
        <v>79</v>
      </c>
    </row>
    <row r="151" spans="1:3" ht="12.75">
      <c r="A151" t="s">
        <v>69</v>
      </c>
      <c r="C151" t="s">
        <v>80</v>
      </c>
    </row>
    <row r="152" spans="1:3" ht="12.75">
      <c r="A152" t="s">
        <v>595</v>
      </c>
      <c r="C152" t="s">
        <v>94</v>
      </c>
    </row>
    <row r="153" ht="12.75">
      <c r="A153" t="s">
        <v>410</v>
      </c>
    </row>
    <row r="154" ht="12.75">
      <c r="A154" t="s">
        <v>74</v>
      </c>
    </row>
    <row r="155" ht="12.75">
      <c r="A155" s="23" t="s">
        <v>79</v>
      </c>
    </row>
    <row r="156" ht="12.75">
      <c r="A156" t="s">
        <v>80</v>
      </c>
    </row>
    <row r="157" ht="12.75">
      <c r="A157" t="s">
        <v>85</v>
      </c>
    </row>
    <row r="158" ht="12.75">
      <c r="A158" t="s">
        <v>89</v>
      </c>
    </row>
    <row r="159" ht="12.75">
      <c r="A159" t="s">
        <v>94</v>
      </c>
    </row>
    <row r="161" spans="1:4" ht="12.75">
      <c r="A161" s="14" t="s">
        <v>440</v>
      </c>
      <c r="B161" s="14" t="s">
        <v>441</v>
      </c>
      <c r="C161" s="14" t="s">
        <v>443</v>
      </c>
      <c r="D161" s="14" t="s">
        <v>443</v>
      </c>
    </row>
    <row r="162" spans="1:4" ht="12.75">
      <c r="A162" t="s">
        <v>32</v>
      </c>
      <c r="B162" t="s">
        <v>32</v>
      </c>
      <c r="C162" t="s">
        <v>32</v>
      </c>
      <c r="D162" t="s">
        <v>32</v>
      </c>
    </row>
    <row r="163" spans="1:4" ht="12.75">
      <c r="A163" t="s">
        <v>442</v>
      </c>
      <c r="B163" t="s">
        <v>442</v>
      </c>
      <c r="C163" t="s">
        <v>442</v>
      </c>
      <c r="D163" t="s">
        <v>442</v>
      </c>
    </row>
    <row r="164" spans="1:4" ht="12.75">
      <c r="A164" t="s">
        <v>407</v>
      </c>
      <c r="B164" t="s">
        <v>407</v>
      </c>
      <c r="C164" t="s">
        <v>407</v>
      </c>
      <c r="D164" t="s">
        <v>407</v>
      </c>
    </row>
    <row r="165" spans="1:4" ht="12.75">
      <c r="A165" t="s">
        <v>411</v>
      </c>
      <c r="B165" t="s">
        <v>409</v>
      </c>
      <c r="C165" t="s">
        <v>411</v>
      </c>
      <c r="D165" t="s">
        <v>411</v>
      </c>
    </row>
    <row r="166" spans="1:4" ht="12.75">
      <c r="A166" t="s">
        <v>57</v>
      </c>
      <c r="B166" t="s">
        <v>410</v>
      </c>
      <c r="C166" t="s">
        <v>57</v>
      </c>
      <c r="D166" t="s">
        <v>57</v>
      </c>
    </row>
    <row r="167" spans="1:4" ht="12.75">
      <c r="A167" t="s">
        <v>409</v>
      </c>
      <c r="B167" t="s">
        <v>85</v>
      </c>
      <c r="C167" t="s">
        <v>409</v>
      </c>
      <c r="D167" t="s">
        <v>409</v>
      </c>
    </row>
    <row r="168" spans="1:4" ht="12.75">
      <c r="A168" t="s">
        <v>60</v>
      </c>
      <c r="B168" t="s">
        <v>89</v>
      </c>
      <c r="C168" t="s">
        <v>61</v>
      </c>
      <c r="D168" t="s">
        <v>410</v>
      </c>
    </row>
    <row r="169" spans="1:4" ht="12.75">
      <c r="A169" t="s">
        <v>596</v>
      </c>
      <c r="C169" t="s">
        <v>410</v>
      </c>
      <c r="D169" t="s">
        <v>94</v>
      </c>
    </row>
    <row r="170" spans="1:3" ht="12.75">
      <c r="A170" t="s">
        <v>61</v>
      </c>
      <c r="C170" t="s">
        <v>85</v>
      </c>
    </row>
    <row r="171" spans="1:3" ht="12.75">
      <c r="A171" t="s">
        <v>69</v>
      </c>
      <c r="C171" t="s">
        <v>94</v>
      </c>
    </row>
    <row r="172" ht="12.75">
      <c r="A172" t="s">
        <v>595</v>
      </c>
    </row>
    <row r="173" ht="12.75">
      <c r="A173" t="s">
        <v>410</v>
      </c>
    </row>
    <row r="174" ht="12.75">
      <c r="A174" t="s">
        <v>85</v>
      </c>
    </row>
    <row r="175" ht="12.75">
      <c r="A175" t="s">
        <v>94</v>
      </c>
    </row>
    <row r="177" spans="1:2" ht="12.75">
      <c r="A177" s="14" t="s">
        <v>446</v>
      </c>
      <c r="B177" s="14" t="s">
        <v>447</v>
      </c>
    </row>
    <row r="178" spans="1:2" ht="12.75">
      <c r="A178" t="s">
        <v>32</v>
      </c>
      <c r="B178" t="s">
        <v>411</v>
      </c>
    </row>
    <row r="179" spans="1:2" ht="12.75">
      <c r="A179" t="s">
        <v>34</v>
      </c>
      <c r="B179" t="s">
        <v>53</v>
      </c>
    </row>
    <row r="180" ht="12.75">
      <c r="A180" t="s">
        <v>41</v>
      </c>
    </row>
    <row r="181" ht="12.75">
      <c r="A181" t="s">
        <v>407</v>
      </c>
    </row>
    <row r="182" ht="12.75">
      <c r="A182" t="s">
        <v>411</v>
      </c>
    </row>
    <row r="183" ht="12.75">
      <c r="A183" t="s">
        <v>57</v>
      </c>
    </row>
    <row r="184" ht="12.75">
      <c r="A184" t="s">
        <v>409</v>
      </c>
    </row>
    <row r="185" ht="12.75">
      <c r="A185" t="s">
        <v>60</v>
      </c>
    </row>
    <row r="186" ht="12.75">
      <c r="A186" t="s">
        <v>596</v>
      </c>
    </row>
    <row r="187" ht="12.75">
      <c r="A187" t="s">
        <v>61</v>
      </c>
    </row>
    <row r="188" ht="12.75">
      <c r="A188" t="s">
        <v>69</v>
      </c>
    </row>
    <row r="189" ht="12.75">
      <c r="A189" t="s">
        <v>595</v>
      </c>
    </row>
    <row r="190" ht="12.75">
      <c r="A190" t="s">
        <v>410</v>
      </c>
    </row>
    <row r="191" ht="12.75">
      <c r="A191" t="s">
        <v>74</v>
      </c>
    </row>
    <row r="192" ht="12.75">
      <c r="A192" t="s">
        <v>79</v>
      </c>
    </row>
    <row r="193" ht="12.75">
      <c r="A193" t="s">
        <v>80</v>
      </c>
    </row>
    <row r="194" ht="12.75">
      <c r="A194" t="s">
        <v>85</v>
      </c>
    </row>
    <row r="195" ht="12.75">
      <c r="A195" t="s">
        <v>86</v>
      </c>
    </row>
    <row r="196" ht="12.75">
      <c r="A196" t="s">
        <v>89</v>
      </c>
    </row>
    <row r="197" ht="12.75">
      <c r="A197" t="s">
        <v>94</v>
      </c>
    </row>
    <row r="199" spans="1:3" ht="12.75">
      <c r="A199" s="14" t="s">
        <v>451</v>
      </c>
      <c r="B199" s="14" t="s">
        <v>452</v>
      </c>
      <c r="C199" s="14" t="s">
        <v>462</v>
      </c>
    </row>
    <row r="200" spans="1:3" ht="12.75">
      <c r="A200" t="s">
        <v>32</v>
      </c>
      <c r="B200" t="s">
        <v>32</v>
      </c>
      <c r="C200" t="s">
        <v>32</v>
      </c>
    </row>
    <row r="201" spans="1:3" ht="12.75">
      <c r="A201" t="s">
        <v>34</v>
      </c>
      <c r="B201" t="s">
        <v>34</v>
      </c>
      <c r="C201" t="s">
        <v>34</v>
      </c>
    </row>
    <row r="202" spans="1:3" ht="12.75">
      <c r="A202" t="s">
        <v>407</v>
      </c>
      <c r="B202" t="s">
        <v>44</v>
      </c>
      <c r="C202" t="s">
        <v>407</v>
      </c>
    </row>
    <row r="203" spans="1:3" ht="12.75">
      <c r="A203" t="s">
        <v>411</v>
      </c>
      <c r="B203" t="s">
        <v>407</v>
      </c>
      <c r="C203" t="s">
        <v>411</v>
      </c>
    </row>
    <row r="204" spans="1:3" ht="12.75">
      <c r="A204" t="s">
        <v>50</v>
      </c>
      <c r="B204" t="s">
        <v>409</v>
      </c>
      <c r="C204" t="s">
        <v>50</v>
      </c>
    </row>
    <row r="205" spans="1:3" ht="12.75">
      <c r="A205" t="s">
        <v>1017</v>
      </c>
      <c r="B205" t="s">
        <v>59</v>
      </c>
      <c r="C205" t="s">
        <v>1017</v>
      </c>
    </row>
    <row r="206" spans="1:3" ht="12.75">
      <c r="A206" t="s">
        <v>1018</v>
      </c>
      <c r="B206" t="s">
        <v>60</v>
      </c>
      <c r="C206" t="s">
        <v>1020</v>
      </c>
    </row>
    <row r="207" spans="1:3" ht="12.75">
      <c r="A207" t="s">
        <v>1019</v>
      </c>
      <c r="B207" t="s">
        <v>596</v>
      </c>
      <c r="C207" t="s">
        <v>1021</v>
      </c>
    </row>
    <row r="208" spans="1:3" ht="12.75">
      <c r="A208" t="s">
        <v>1020</v>
      </c>
      <c r="B208" t="s">
        <v>61</v>
      </c>
      <c r="C208" t="s">
        <v>1022</v>
      </c>
    </row>
    <row r="209" spans="1:3" ht="12.75">
      <c r="A209" t="s">
        <v>1021</v>
      </c>
      <c r="B209" t="s">
        <v>69</v>
      </c>
      <c r="C209" t="s">
        <v>1023</v>
      </c>
    </row>
    <row r="210" spans="1:3" ht="12.75">
      <c r="A210" t="s">
        <v>1022</v>
      </c>
      <c r="B210" t="s">
        <v>595</v>
      </c>
      <c r="C210" t="s">
        <v>1024</v>
      </c>
    </row>
    <row r="211" spans="1:3" ht="12.75">
      <c r="A211" t="s">
        <v>1023</v>
      </c>
      <c r="B211" t="s">
        <v>410</v>
      </c>
      <c r="C211" t="s">
        <v>1025</v>
      </c>
    </row>
    <row r="212" spans="1:3" ht="12.75">
      <c r="A212" t="s">
        <v>1024</v>
      </c>
      <c r="B212" t="s">
        <v>79</v>
      </c>
      <c r="C212" t="s">
        <v>1026</v>
      </c>
    </row>
    <row r="213" spans="1:3" ht="12.75">
      <c r="A213" t="s">
        <v>1025</v>
      </c>
      <c r="B213" t="s">
        <v>80</v>
      </c>
      <c r="C213" t="s">
        <v>1027</v>
      </c>
    </row>
    <row r="214" spans="1:3" ht="12.75">
      <c r="A214" t="s">
        <v>1026</v>
      </c>
      <c r="B214" t="s">
        <v>85</v>
      </c>
      <c r="C214" t="s">
        <v>57</v>
      </c>
    </row>
    <row r="215" spans="1:3" ht="12.75">
      <c r="A215" t="s">
        <v>1027</v>
      </c>
      <c r="B215" t="s">
        <v>94</v>
      </c>
      <c r="C215" t="s">
        <v>409</v>
      </c>
    </row>
    <row r="216" spans="1:3" ht="12.75">
      <c r="A216" t="s">
        <v>57</v>
      </c>
      <c r="C216" t="s">
        <v>410</v>
      </c>
    </row>
    <row r="217" spans="1:3" ht="12.75">
      <c r="A217" t="s">
        <v>409</v>
      </c>
      <c r="C217" t="s">
        <v>89</v>
      </c>
    </row>
    <row r="218" spans="1:3" ht="12.75">
      <c r="A218" t="s">
        <v>60</v>
      </c>
      <c r="C218" t="s">
        <v>94</v>
      </c>
    </row>
    <row r="219" ht="12.75">
      <c r="A219" t="s">
        <v>596</v>
      </c>
    </row>
    <row r="220" ht="12.75">
      <c r="A220" t="s">
        <v>61</v>
      </c>
    </row>
    <row r="221" ht="12.75">
      <c r="A221" t="s">
        <v>69</v>
      </c>
    </row>
    <row r="222" ht="12.75">
      <c r="A222" t="s">
        <v>595</v>
      </c>
    </row>
    <row r="223" ht="12.75">
      <c r="A223" t="s">
        <v>410</v>
      </c>
    </row>
    <row r="224" ht="12.75">
      <c r="A224" t="s">
        <v>79</v>
      </c>
    </row>
    <row r="225" ht="12.75">
      <c r="A225" t="s">
        <v>85</v>
      </c>
    </row>
    <row r="226" ht="12.75">
      <c r="A226" t="s">
        <v>89</v>
      </c>
    </row>
    <row r="227" ht="12.75">
      <c r="A227" t="s">
        <v>94</v>
      </c>
    </row>
    <row r="229" spans="1:2" ht="12.75">
      <c r="A229" s="14" t="s">
        <v>468</v>
      </c>
      <c r="B229" s="14" t="s">
        <v>470</v>
      </c>
    </row>
    <row r="230" spans="1:2" ht="12.75">
      <c r="A230" t="s">
        <v>32</v>
      </c>
      <c r="B230" t="s">
        <v>32</v>
      </c>
    </row>
    <row r="231" spans="1:2" ht="12.75">
      <c r="A231" t="s">
        <v>34</v>
      </c>
      <c r="B231" t="s">
        <v>34</v>
      </c>
    </row>
    <row r="232" spans="1:2" ht="12.75">
      <c r="A232" t="s">
        <v>41</v>
      </c>
      <c r="B232" t="s">
        <v>41</v>
      </c>
    </row>
    <row r="233" spans="1:2" ht="12.75">
      <c r="A233" t="s">
        <v>43</v>
      </c>
      <c r="B233" t="s">
        <v>44</v>
      </c>
    </row>
    <row r="234" spans="1:2" ht="12.75">
      <c r="A234" t="s">
        <v>44</v>
      </c>
      <c r="B234" t="s">
        <v>407</v>
      </c>
    </row>
    <row r="235" spans="1:2" ht="12.75">
      <c r="A235" t="s">
        <v>407</v>
      </c>
      <c r="B235" t="s">
        <v>411</v>
      </c>
    </row>
    <row r="236" spans="1:2" ht="12.75">
      <c r="A236" t="s">
        <v>411</v>
      </c>
      <c r="B236" t="s">
        <v>48</v>
      </c>
    </row>
    <row r="237" spans="1:2" ht="12.75">
      <c r="A237" t="s">
        <v>48</v>
      </c>
      <c r="B237" t="s">
        <v>49</v>
      </c>
    </row>
    <row r="238" spans="1:2" ht="12.75">
      <c r="A238" t="s">
        <v>49</v>
      </c>
      <c r="B238" t="s">
        <v>57</v>
      </c>
    </row>
    <row r="239" spans="1:2" ht="12.75">
      <c r="A239" t="s">
        <v>57</v>
      </c>
      <c r="B239" t="s">
        <v>409</v>
      </c>
    </row>
    <row r="240" spans="1:2" ht="12.75">
      <c r="A240" t="s">
        <v>409</v>
      </c>
      <c r="B240" t="s">
        <v>59</v>
      </c>
    </row>
    <row r="241" spans="1:2" ht="12.75">
      <c r="A241" t="s">
        <v>60</v>
      </c>
      <c r="B241" t="s">
        <v>61</v>
      </c>
    </row>
    <row r="242" spans="1:2" ht="12.75">
      <c r="A242" t="s">
        <v>596</v>
      </c>
      <c r="B242" t="s">
        <v>69</v>
      </c>
    </row>
    <row r="243" spans="1:2" ht="12.75">
      <c r="A243" t="s">
        <v>61</v>
      </c>
      <c r="B243" t="s">
        <v>595</v>
      </c>
    </row>
    <row r="244" spans="1:2" ht="12.75">
      <c r="A244" t="s">
        <v>69</v>
      </c>
      <c r="B244" t="s">
        <v>410</v>
      </c>
    </row>
    <row r="245" spans="1:2" ht="12.75">
      <c r="A245" t="s">
        <v>595</v>
      </c>
      <c r="B245" t="s">
        <v>74</v>
      </c>
    </row>
    <row r="246" spans="1:2" ht="12.75">
      <c r="A246" t="s">
        <v>410</v>
      </c>
      <c r="B246" t="s">
        <v>79</v>
      </c>
    </row>
    <row r="247" spans="1:2" ht="12.75">
      <c r="A247" t="s">
        <v>74</v>
      </c>
      <c r="B247" t="s">
        <v>80</v>
      </c>
    </row>
    <row r="248" spans="1:2" ht="12.75">
      <c r="A248" t="s">
        <v>79</v>
      </c>
      <c r="B248" t="s">
        <v>85</v>
      </c>
    </row>
    <row r="249" spans="1:2" ht="12.75">
      <c r="A249" t="s">
        <v>80</v>
      </c>
      <c r="B249" t="s">
        <v>89</v>
      </c>
    </row>
    <row r="250" spans="1:2" ht="12.75">
      <c r="A250" t="s">
        <v>85</v>
      </c>
      <c r="B250" t="s">
        <v>94</v>
      </c>
    </row>
    <row r="251" ht="12.75">
      <c r="A251" t="s">
        <v>86</v>
      </c>
    </row>
    <row r="252" ht="12.75">
      <c r="A252" t="s">
        <v>89</v>
      </c>
    </row>
    <row r="253" ht="12.75">
      <c r="A253" t="s">
        <v>1036</v>
      </c>
    </row>
    <row r="254" ht="12.75">
      <c r="A254" t="s">
        <v>94</v>
      </c>
    </row>
    <row r="255" ht="12.75">
      <c r="A255" t="s">
        <v>429</v>
      </c>
    </row>
    <row r="263" spans="1:3" ht="12.75">
      <c r="A263" s="14" t="s">
        <v>471</v>
      </c>
      <c r="B263" s="14" t="s">
        <v>472</v>
      </c>
      <c r="C263" s="14" t="s">
        <v>473</v>
      </c>
    </row>
    <row r="264" spans="1:3" ht="12.75">
      <c r="A264" t="s">
        <v>32</v>
      </c>
      <c r="B264" t="s">
        <v>32</v>
      </c>
      <c r="C264" t="s">
        <v>32</v>
      </c>
    </row>
    <row r="265" spans="1:3" ht="12.75">
      <c r="A265" t="s">
        <v>407</v>
      </c>
      <c r="B265" t="s">
        <v>407</v>
      </c>
      <c r="C265" t="s">
        <v>407</v>
      </c>
    </row>
    <row r="266" spans="1:3" ht="12.75">
      <c r="A266" t="s">
        <v>442</v>
      </c>
      <c r="B266" t="s">
        <v>415</v>
      </c>
      <c r="C266" t="s">
        <v>442</v>
      </c>
    </row>
    <row r="267" spans="1:3" ht="12.75">
      <c r="A267" t="s">
        <v>74</v>
      </c>
      <c r="B267" t="s">
        <v>94</v>
      </c>
      <c r="C267" t="s">
        <v>74</v>
      </c>
    </row>
    <row r="268" spans="1:3" ht="12.75">
      <c r="A268" t="s">
        <v>94</v>
      </c>
      <c r="B268" t="s">
        <v>89</v>
      </c>
      <c r="C268" t="s">
        <v>94</v>
      </c>
    </row>
    <row r="269" spans="1:3" ht="12.75">
      <c r="A269" t="s">
        <v>411</v>
      </c>
      <c r="B269" t="s">
        <v>86</v>
      </c>
      <c r="C269" t="s">
        <v>411</v>
      </c>
    </row>
    <row r="270" spans="1:3" ht="12.75">
      <c r="A270" t="s">
        <v>89</v>
      </c>
      <c r="B270" t="s">
        <v>85</v>
      </c>
      <c r="C270" t="s">
        <v>89</v>
      </c>
    </row>
    <row r="271" spans="1:3" ht="12.75">
      <c r="A271" t="s">
        <v>57</v>
      </c>
      <c r="B271" t="s">
        <v>61</v>
      </c>
      <c r="C271" t="s">
        <v>57</v>
      </c>
    </row>
    <row r="272" spans="1:3" ht="12.75">
      <c r="A272" t="s">
        <v>44</v>
      </c>
      <c r="B272" t="s">
        <v>90</v>
      </c>
      <c r="C272" t="s">
        <v>44</v>
      </c>
    </row>
    <row r="273" spans="1:3" ht="12.75">
      <c r="A273" t="s">
        <v>41</v>
      </c>
      <c r="B273" t="s">
        <v>1053</v>
      </c>
      <c r="C273" t="s">
        <v>415</v>
      </c>
    </row>
    <row r="274" spans="1:3" ht="12.75">
      <c r="A274" t="s">
        <v>69</v>
      </c>
      <c r="B274" t="s">
        <v>35</v>
      </c>
      <c r="C274" t="s">
        <v>410</v>
      </c>
    </row>
    <row r="275" spans="1:3" ht="12.75">
      <c r="A275" t="s">
        <v>415</v>
      </c>
      <c r="C275" t="s">
        <v>41</v>
      </c>
    </row>
    <row r="276" ht="12.75">
      <c r="A276" t="s">
        <v>410</v>
      </c>
    </row>
    <row r="277" ht="12.75">
      <c r="A277" t="s">
        <v>85</v>
      </c>
    </row>
    <row r="278" ht="12.75">
      <c r="A278" t="s">
        <v>61</v>
      </c>
    </row>
    <row r="279" ht="12.75">
      <c r="A279" t="s">
        <v>595</v>
      </c>
    </row>
    <row r="280" ht="12.75">
      <c r="D280" s="14" t="s">
        <v>467</v>
      </c>
    </row>
    <row r="281" spans="1:4" ht="12.75">
      <c r="A281" s="14" t="s">
        <v>464</v>
      </c>
      <c r="B281" s="14" t="s">
        <v>465</v>
      </c>
      <c r="C281" s="14" t="s">
        <v>466</v>
      </c>
      <c r="D281" t="s">
        <v>415</v>
      </c>
    </row>
    <row r="282" spans="1:4" ht="12.75">
      <c r="A282" t="s">
        <v>32</v>
      </c>
      <c r="B282" t="s">
        <v>32</v>
      </c>
      <c r="C282" t="s">
        <v>32</v>
      </c>
      <c r="D282" t="s">
        <v>34</v>
      </c>
    </row>
    <row r="283" spans="1:4" ht="12.75">
      <c r="A283" t="s">
        <v>407</v>
      </c>
      <c r="B283" t="s">
        <v>407</v>
      </c>
      <c r="C283" t="s">
        <v>407</v>
      </c>
      <c r="D283" t="s">
        <v>94</v>
      </c>
    </row>
    <row r="284" spans="1:4" ht="12.75">
      <c r="A284" t="s">
        <v>409</v>
      </c>
      <c r="B284" t="s">
        <v>94</v>
      </c>
      <c r="C284" t="s">
        <v>409</v>
      </c>
      <c r="D284" t="s">
        <v>411</v>
      </c>
    </row>
    <row r="285" spans="1:4" ht="12.75">
      <c r="A285" t="s">
        <v>410</v>
      </c>
      <c r="B285" t="s">
        <v>89</v>
      </c>
      <c r="C285" t="s">
        <v>410</v>
      </c>
      <c r="D285" t="s">
        <v>69</v>
      </c>
    </row>
    <row r="286" spans="1:3" ht="12.75">
      <c r="A286" t="s">
        <v>34</v>
      </c>
      <c r="B286" t="s">
        <v>79</v>
      </c>
      <c r="C286" t="s">
        <v>34</v>
      </c>
    </row>
    <row r="287" spans="1:3" ht="12.75">
      <c r="A287" t="s">
        <v>94</v>
      </c>
      <c r="B287" t="s">
        <v>80</v>
      </c>
      <c r="C287" t="s">
        <v>94</v>
      </c>
    </row>
    <row r="288" spans="1:3" ht="12.75">
      <c r="A288" t="s">
        <v>411</v>
      </c>
      <c r="B288" t="s">
        <v>414</v>
      </c>
      <c r="C288" t="s">
        <v>411</v>
      </c>
    </row>
    <row r="289" spans="1:3" ht="12.75">
      <c r="A289" t="s">
        <v>89</v>
      </c>
      <c r="B289" t="s">
        <v>46</v>
      </c>
      <c r="C289" t="s">
        <v>69</v>
      </c>
    </row>
    <row r="290" spans="1:2" ht="12.75">
      <c r="A290" t="s">
        <v>41</v>
      </c>
      <c r="B290" t="s">
        <v>47</v>
      </c>
    </row>
    <row r="291" spans="1:2" ht="12.75">
      <c r="A291" t="s">
        <v>79</v>
      </c>
      <c r="B291" t="s">
        <v>41</v>
      </c>
    </row>
    <row r="292" spans="1:2" ht="12.75">
      <c r="A292" t="s">
        <v>80</v>
      </c>
      <c r="B292" t="s">
        <v>59</v>
      </c>
    </row>
    <row r="293" spans="1:2" ht="12.75">
      <c r="A293" t="s">
        <v>69</v>
      </c>
      <c r="B293" t="s">
        <v>39</v>
      </c>
    </row>
    <row r="294" spans="1:2" ht="12.75">
      <c r="A294" t="s">
        <v>60</v>
      </c>
      <c r="B294" t="s">
        <v>408</v>
      </c>
    </row>
    <row r="295" spans="1:2" ht="12.75">
      <c r="A295" t="s">
        <v>85</v>
      </c>
      <c r="B295" t="s">
        <v>69</v>
      </c>
    </row>
    <row r="296" spans="1:2" ht="12.75">
      <c r="A296" t="s">
        <v>61</v>
      </c>
      <c r="B296" t="s">
        <v>85</v>
      </c>
    </row>
    <row r="297" spans="1:2" ht="12.75">
      <c r="A297" t="s">
        <v>596</v>
      </c>
      <c r="B297" t="s">
        <v>61</v>
      </c>
    </row>
    <row r="298" spans="1:2" ht="12.75">
      <c r="A298" t="s">
        <v>595</v>
      </c>
      <c r="B298" t="s">
        <v>595</v>
      </c>
    </row>
    <row r="299" ht="12.75">
      <c r="D299" s="14" t="s">
        <v>546</v>
      </c>
    </row>
    <row r="300" spans="1:4" ht="12.75">
      <c r="A300" s="14" t="s">
        <v>543</v>
      </c>
      <c r="B300" s="14" t="s">
        <v>544</v>
      </c>
      <c r="C300" s="14" t="s">
        <v>545</v>
      </c>
      <c r="D300" t="s">
        <v>32</v>
      </c>
    </row>
    <row r="301" spans="1:4" ht="12.75">
      <c r="A301" t="s">
        <v>32</v>
      </c>
      <c r="B301" t="s">
        <v>32</v>
      </c>
      <c r="C301" t="s">
        <v>32</v>
      </c>
      <c r="D301" t="s">
        <v>41</v>
      </c>
    </row>
    <row r="302" spans="1:4" ht="12.75">
      <c r="A302" t="s">
        <v>43</v>
      </c>
      <c r="B302" t="s">
        <v>33</v>
      </c>
      <c r="C302" t="s">
        <v>41</v>
      </c>
      <c r="D302" t="s">
        <v>43</v>
      </c>
    </row>
    <row r="303" spans="1:4" ht="12.75">
      <c r="A303" t="s">
        <v>540</v>
      </c>
      <c r="B303" t="s">
        <v>43</v>
      </c>
      <c r="C303" t="s">
        <v>43</v>
      </c>
      <c r="D303" t="s">
        <v>415</v>
      </c>
    </row>
    <row r="304" spans="1:4" ht="12.75">
      <c r="A304" t="s">
        <v>415</v>
      </c>
      <c r="B304" t="s">
        <v>540</v>
      </c>
      <c r="C304" t="s">
        <v>415</v>
      </c>
      <c r="D304" t="s">
        <v>407</v>
      </c>
    </row>
    <row r="305" spans="1:4" ht="12.75">
      <c r="A305" t="s">
        <v>407</v>
      </c>
      <c r="B305" t="s">
        <v>415</v>
      </c>
      <c r="C305" t="s">
        <v>407</v>
      </c>
      <c r="D305" t="s">
        <v>61</v>
      </c>
    </row>
    <row r="306" spans="1:4" ht="12.75">
      <c r="A306" t="s">
        <v>61</v>
      </c>
      <c r="B306" t="s">
        <v>407</v>
      </c>
      <c r="C306" t="s">
        <v>61</v>
      </c>
      <c r="D306" t="s">
        <v>66</v>
      </c>
    </row>
    <row r="307" spans="1:4" ht="12.75">
      <c r="A307" t="s">
        <v>89</v>
      </c>
      <c r="B307" t="s">
        <v>1047</v>
      </c>
      <c r="C307" t="s">
        <v>88</v>
      </c>
      <c r="D307" t="s">
        <v>88</v>
      </c>
    </row>
    <row r="308" spans="1:4" ht="12.75">
      <c r="A308" t="s">
        <v>541</v>
      </c>
      <c r="B308" t="s">
        <v>61</v>
      </c>
      <c r="C308" t="s">
        <v>89</v>
      </c>
      <c r="D308" t="s">
        <v>89</v>
      </c>
    </row>
    <row r="309" spans="1:4" ht="12.75">
      <c r="A309" t="s">
        <v>92</v>
      </c>
      <c r="B309" t="s">
        <v>89</v>
      </c>
      <c r="C309" t="s">
        <v>94</v>
      </c>
      <c r="D309" t="s">
        <v>94</v>
      </c>
    </row>
    <row r="310" spans="1:2" ht="12.75">
      <c r="A310" t="s">
        <v>94</v>
      </c>
      <c r="B310" t="s">
        <v>541</v>
      </c>
    </row>
    <row r="311" ht="12.75">
      <c r="B311" t="s">
        <v>92</v>
      </c>
    </row>
    <row r="312" ht="12.75">
      <c r="B312" t="s">
        <v>94</v>
      </c>
    </row>
    <row r="313" ht="12.75">
      <c r="D313" s="14" t="s">
        <v>607</v>
      </c>
    </row>
    <row r="314" spans="1:4" ht="12.75">
      <c r="A314" s="14" t="s">
        <v>604</v>
      </c>
      <c r="B314" s="14" t="s">
        <v>605</v>
      </c>
      <c r="C314" s="14" t="s">
        <v>606</v>
      </c>
      <c r="D314" t="s">
        <v>407</v>
      </c>
    </row>
    <row r="315" spans="1:4" ht="12.75">
      <c r="A315" t="s">
        <v>32</v>
      </c>
      <c r="B315" t="s">
        <v>32</v>
      </c>
      <c r="C315" t="s">
        <v>407</v>
      </c>
      <c r="D315" t="s">
        <v>32</v>
      </c>
    </row>
    <row r="316" spans="1:4" ht="12.75">
      <c r="A316" t="s">
        <v>410</v>
      </c>
      <c r="B316" t="s">
        <v>407</v>
      </c>
      <c r="C316" t="s">
        <v>32</v>
      </c>
      <c r="D316" t="s">
        <v>608</v>
      </c>
    </row>
    <row r="317" spans="1:4" ht="12.75">
      <c r="A317" t="s">
        <v>409</v>
      </c>
      <c r="B317" t="s">
        <v>410</v>
      </c>
      <c r="C317" t="s">
        <v>409</v>
      </c>
      <c r="D317" t="s">
        <v>94</v>
      </c>
    </row>
    <row r="318" spans="1:4" ht="12.75">
      <c r="A318" t="s">
        <v>94</v>
      </c>
      <c r="B318" t="s">
        <v>409</v>
      </c>
      <c r="C318" t="s">
        <v>608</v>
      </c>
      <c r="D318" t="s">
        <v>34</v>
      </c>
    </row>
    <row r="319" spans="1:4" ht="12.75">
      <c r="A319" t="s">
        <v>608</v>
      </c>
      <c r="B319" t="s">
        <v>94</v>
      </c>
      <c r="C319" t="s">
        <v>94</v>
      </c>
      <c r="D319" t="s">
        <v>41</v>
      </c>
    </row>
    <row r="320" spans="1:4" ht="12.75">
      <c r="A320" t="s">
        <v>34</v>
      </c>
      <c r="B320" t="s">
        <v>608</v>
      </c>
      <c r="C320" t="s">
        <v>34</v>
      </c>
      <c r="D320" t="s">
        <v>71</v>
      </c>
    </row>
    <row r="321" spans="1:4" ht="12.75">
      <c r="A321" t="s">
        <v>411</v>
      </c>
      <c r="B321" t="s">
        <v>34</v>
      </c>
      <c r="C321" t="s">
        <v>89</v>
      </c>
      <c r="D321" t="s">
        <v>69</v>
      </c>
    </row>
    <row r="322" spans="1:4" ht="12.75">
      <c r="A322" t="s">
        <v>74</v>
      </c>
      <c r="B322" t="s">
        <v>89</v>
      </c>
      <c r="C322" t="s">
        <v>57</v>
      </c>
      <c r="D322" t="s">
        <v>61</v>
      </c>
    </row>
    <row r="323" spans="1:3" ht="12.75">
      <c r="A323" t="s">
        <v>67</v>
      </c>
      <c r="B323" t="s">
        <v>41</v>
      </c>
      <c r="C323" t="s">
        <v>411</v>
      </c>
    </row>
    <row r="324" spans="1:3" ht="12.75">
      <c r="A324" t="s">
        <v>69</v>
      </c>
      <c r="B324" t="s">
        <v>71</v>
      </c>
      <c r="C324" t="s">
        <v>69</v>
      </c>
    </row>
    <row r="325" spans="1:3" ht="12.75">
      <c r="A325" t="s">
        <v>60</v>
      </c>
      <c r="B325" t="s">
        <v>69</v>
      </c>
      <c r="C325" t="s">
        <v>595</v>
      </c>
    </row>
    <row r="326" spans="1:3" ht="12.75">
      <c r="A326" t="s">
        <v>85</v>
      </c>
      <c r="B326" t="s">
        <v>595</v>
      </c>
      <c r="C326" t="s">
        <v>85</v>
      </c>
    </row>
    <row r="327" spans="1:3" ht="12.75">
      <c r="A327" t="s">
        <v>98</v>
      </c>
      <c r="B327" t="s">
        <v>85</v>
      </c>
      <c r="C327" t="s">
        <v>61</v>
      </c>
    </row>
    <row r="328" spans="1:2" ht="12.75">
      <c r="A328" t="s">
        <v>37</v>
      </c>
      <c r="B328" t="s">
        <v>61</v>
      </c>
    </row>
    <row r="329" spans="1:2" ht="12.75">
      <c r="A329" t="s">
        <v>61</v>
      </c>
      <c r="B329" t="s">
        <v>43</v>
      </c>
    </row>
    <row r="330" spans="1:2" ht="12.75">
      <c r="A330" t="s">
        <v>596</v>
      </c>
      <c r="B330" t="s">
        <v>63</v>
      </c>
    </row>
    <row r="331" ht="12.75">
      <c r="A331" t="s">
        <v>595</v>
      </c>
    </row>
    <row r="332" ht="12.75">
      <c r="A332" t="s">
        <v>407</v>
      </c>
    </row>
    <row r="333" ht="12.75">
      <c r="A333" t="s">
        <v>609</v>
      </c>
    </row>
    <row r="335" spans="1:3" ht="12.75">
      <c r="A335" s="14" t="s">
        <v>611</v>
      </c>
      <c r="B335" s="14" t="s">
        <v>614</v>
      </c>
      <c r="C335" s="14" t="s">
        <v>612</v>
      </c>
    </row>
    <row r="336" spans="1:3" ht="12.75">
      <c r="A336" t="s">
        <v>32</v>
      </c>
      <c r="B336" t="s">
        <v>32</v>
      </c>
      <c r="C336" t="s">
        <v>32</v>
      </c>
    </row>
    <row r="337" spans="1:3" ht="12.75">
      <c r="A337" t="s">
        <v>407</v>
      </c>
      <c r="B337" t="s">
        <v>407</v>
      </c>
      <c r="C337" t="s">
        <v>407</v>
      </c>
    </row>
    <row r="338" spans="1:3" ht="12.75">
      <c r="A338" t="s">
        <v>34</v>
      </c>
      <c r="B338" t="s">
        <v>34</v>
      </c>
      <c r="C338" t="s">
        <v>34</v>
      </c>
    </row>
    <row r="339" spans="1:3" ht="12.75">
      <c r="A339" t="s">
        <v>94</v>
      </c>
      <c r="B339" t="s">
        <v>94</v>
      </c>
      <c r="C339" t="s">
        <v>94</v>
      </c>
    </row>
    <row r="340" spans="1:3" ht="12.75">
      <c r="A340" t="s">
        <v>411</v>
      </c>
      <c r="B340" t="s">
        <v>411</v>
      </c>
      <c r="C340" t="s">
        <v>83</v>
      </c>
    </row>
    <row r="341" spans="1:3" ht="12.75">
      <c r="A341" t="s">
        <v>57</v>
      </c>
      <c r="B341" t="s">
        <v>57</v>
      </c>
      <c r="C341" t="s">
        <v>61</v>
      </c>
    </row>
    <row r="342" spans="1:3" ht="12.75">
      <c r="A342" t="s">
        <v>89</v>
      </c>
      <c r="B342" t="s">
        <v>89</v>
      </c>
      <c r="C342" t="s">
        <v>69</v>
      </c>
    </row>
    <row r="343" spans="1:2" ht="12.75">
      <c r="A343" t="s">
        <v>613</v>
      </c>
      <c r="B343" t="s">
        <v>613</v>
      </c>
    </row>
    <row r="344" spans="1:2" ht="12.75">
      <c r="A344" t="s">
        <v>83</v>
      </c>
      <c r="B344" t="s">
        <v>83</v>
      </c>
    </row>
    <row r="345" spans="1:2" ht="12.75">
      <c r="A345" t="s">
        <v>45</v>
      </c>
      <c r="B345" t="s">
        <v>45</v>
      </c>
    </row>
    <row r="346" spans="1:2" ht="12.75">
      <c r="A346" t="s">
        <v>61</v>
      </c>
      <c r="B346" t="s">
        <v>61</v>
      </c>
    </row>
    <row r="347" spans="1:2" ht="12.75">
      <c r="A347" t="s">
        <v>69</v>
      </c>
      <c r="B347" t="s">
        <v>69</v>
      </c>
    </row>
    <row r="348" spans="1:2" ht="12.75">
      <c r="A348" t="s">
        <v>85</v>
      </c>
      <c r="B348" t="s">
        <v>85</v>
      </c>
    </row>
    <row r="349" spans="1:2" ht="12.75">
      <c r="A349" t="s">
        <v>595</v>
      </c>
      <c r="B349" t="s">
        <v>595</v>
      </c>
    </row>
    <row r="350" spans="1:2" ht="12.75">
      <c r="A350" t="s">
        <v>43</v>
      </c>
      <c r="B350" t="s">
        <v>43</v>
      </c>
    </row>
    <row r="351" spans="1:2" ht="12.75">
      <c r="A351" t="s">
        <v>973</v>
      </c>
      <c r="B351" t="s">
        <v>616</v>
      </c>
    </row>
    <row r="352" spans="1:2" ht="12.75">
      <c r="A352" t="s">
        <v>1040</v>
      </c>
      <c r="B352" t="s">
        <v>625</v>
      </c>
    </row>
    <row r="353" ht="12.75">
      <c r="A353" t="s">
        <v>974</v>
      </c>
    </row>
    <row r="354" ht="12.75">
      <c r="A354" t="s">
        <v>616</v>
      </c>
    </row>
    <row r="355" ht="12.75">
      <c r="A355" t="s">
        <v>625</v>
      </c>
    </row>
    <row r="356" spans="4:6" ht="12.75">
      <c r="D356" s="14" t="s">
        <v>633</v>
      </c>
      <c r="E356" s="14" t="s">
        <v>634</v>
      </c>
      <c r="F356" s="14" t="s">
        <v>864</v>
      </c>
    </row>
    <row r="357" spans="1:6" ht="12.75">
      <c r="A357" s="14" t="s">
        <v>626</v>
      </c>
      <c r="B357" s="14" t="s">
        <v>629</v>
      </c>
      <c r="C357" s="14" t="s">
        <v>632</v>
      </c>
      <c r="D357" t="s">
        <v>32</v>
      </c>
      <c r="E357" s="32" t="s">
        <v>860</v>
      </c>
      <c r="F357" t="s">
        <v>32</v>
      </c>
    </row>
    <row r="358" spans="1:6" ht="12.75">
      <c r="A358" t="s">
        <v>32</v>
      </c>
      <c r="B358" t="s">
        <v>32</v>
      </c>
      <c r="C358" t="s">
        <v>32</v>
      </c>
      <c r="D358" t="s">
        <v>407</v>
      </c>
      <c r="E358" t="s">
        <v>57</v>
      </c>
      <c r="F358" t="s">
        <v>407</v>
      </c>
    </row>
    <row r="359" spans="1:6" ht="12.75">
      <c r="A359" t="s">
        <v>34</v>
      </c>
      <c r="B359" t="s">
        <v>407</v>
      </c>
      <c r="C359" t="s">
        <v>407</v>
      </c>
      <c r="D359" t="s">
        <v>89</v>
      </c>
      <c r="F359" t="s">
        <v>627</v>
      </c>
    </row>
    <row r="360" spans="1:6" ht="12.75">
      <c r="A360" t="s">
        <v>628</v>
      </c>
      <c r="B360" t="s">
        <v>94</v>
      </c>
      <c r="C360" t="s">
        <v>94</v>
      </c>
      <c r="D360" t="s">
        <v>86</v>
      </c>
      <c r="F360" t="s">
        <v>34</v>
      </c>
    </row>
    <row r="361" spans="1:6" ht="12.75">
      <c r="A361" t="s">
        <v>407</v>
      </c>
      <c r="B361" t="s">
        <v>89</v>
      </c>
      <c r="C361" t="s">
        <v>89</v>
      </c>
      <c r="D361" t="s">
        <v>630</v>
      </c>
      <c r="F361" t="s">
        <v>94</v>
      </c>
    </row>
    <row r="362" spans="1:6" ht="12.75">
      <c r="A362" t="s">
        <v>411</v>
      </c>
      <c r="B362" t="s">
        <v>86</v>
      </c>
      <c r="C362" t="s">
        <v>86</v>
      </c>
      <c r="D362" t="s">
        <v>66</v>
      </c>
      <c r="F362" t="s">
        <v>411</v>
      </c>
    </row>
    <row r="363" spans="1:6" ht="12.75">
      <c r="A363" t="s">
        <v>57</v>
      </c>
      <c r="B363" t="s">
        <v>630</v>
      </c>
      <c r="C363" t="s">
        <v>630</v>
      </c>
      <c r="D363" t="s">
        <v>631</v>
      </c>
      <c r="F363" t="s">
        <v>89</v>
      </c>
    </row>
    <row r="364" spans="1:6" ht="12.75">
      <c r="A364" t="s">
        <v>861</v>
      </c>
      <c r="B364" t="s">
        <v>66</v>
      </c>
      <c r="C364" t="s">
        <v>66</v>
      </c>
      <c r="D364" t="s">
        <v>38</v>
      </c>
      <c r="F364" t="s">
        <v>57</v>
      </c>
    </row>
    <row r="365" spans="1:6" ht="12.75">
      <c r="A365" t="s">
        <v>853</v>
      </c>
      <c r="B365" t="s">
        <v>429</v>
      </c>
      <c r="C365" t="s">
        <v>631</v>
      </c>
      <c r="D365" t="s">
        <v>85</v>
      </c>
      <c r="F365" t="s">
        <v>628</v>
      </c>
    </row>
    <row r="366" spans="1:6" ht="12.75">
      <c r="A366" t="s">
        <v>855</v>
      </c>
      <c r="B366" t="s">
        <v>38</v>
      </c>
      <c r="C366" t="s">
        <v>38</v>
      </c>
      <c r="D366" t="s">
        <v>43</v>
      </c>
      <c r="F366" t="s">
        <v>853</v>
      </c>
    </row>
    <row r="367" spans="1:6" ht="12.75">
      <c r="A367" t="s">
        <v>856</v>
      </c>
      <c r="B367" t="s">
        <v>85</v>
      </c>
      <c r="C367" t="s">
        <v>628</v>
      </c>
      <c r="D367" t="s">
        <v>854</v>
      </c>
      <c r="F367" t="s">
        <v>855</v>
      </c>
    </row>
    <row r="368" spans="1:6" ht="12.75">
      <c r="A368" t="s">
        <v>857</v>
      </c>
      <c r="B368" t="s">
        <v>43</v>
      </c>
      <c r="C368" t="s">
        <v>85</v>
      </c>
      <c r="D368" t="s">
        <v>858</v>
      </c>
      <c r="F368" t="s">
        <v>857</v>
      </c>
    </row>
    <row r="369" spans="1:6" ht="12.75">
      <c r="A369" t="s">
        <v>89</v>
      </c>
      <c r="B369" t="s">
        <v>854</v>
      </c>
      <c r="C369" t="s">
        <v>43</v>
      </c>
      <c r="F369" t="s">
        <v>856</v>
      </c>
    </row>
    <row r="370" spans="1:3" ht="12.75">
      <c r="A370" t="s">
        <v>627</v>
      </c>
      <c r="B370" t="s">
        <v>858</v>
      </c>
      <c r="C370" t="s">
        <v>854</v>
      </c>
    </row>
    <row r="371" spans="1:3" ht="12.75">
      <c r="A371" t="s">
        <v>94</v>
      </c>
      <c r="B371" t="s">
        <v>862</v>
      </c>
      <c r="C371" t="s">
        <v>858</v>
      </c>
    </row>
    <row r="372" spans="2:3" ht="12.75">
      <c r="B372" t="s">
        <v>863</v>
      </c>
      <c r="C372" t="s">
        <v>862</v>
      </c>
    </row>
    <row r="373" ht="12.75">
      <c r="C373" t="s">
        <v>863</v>
      </c>
    </row>
    <row r="375" spans="1:5" ht="12.75">
      <c r="A375" s="14" t="s">
        <v>636</v>
      </c>
      <c r="B375" s="14" t="s">
        <v>637</v>
      </c>
      <c r="C375" s="14" t="s">
        <v>639</v>
      </c>
      <c r="D375" s="14" t="s">
        <v>641</v>
      </c>
      <c r="E375" s="14"/>
    </row>
    <row r="376" spans="1:4" ht="12.75">
      <c r="A376" t="s">
        <v>32</v>
      </c>
      <c r="B376" t="s">
        <v>32</v>
      </c>
      <c r="C376" t="s">
        <v>32</v>
      </c>
      <c r="D376" t="s">
        <v>32</v>
      </c>
    </row>
    <row r="377" spans="1:4" ht="12.75">
      <c r="A377" t="s">
        <v>407</v>
      </c>
      <c r="B377" t="s">
        <v>407</v>
      </c>
      <c r="C377" t="s">
        <v>407</v>
      </c>
      <c r="D377" t="s">
        <v>407</v>
      </c>
    </row>
    <row r="378" spans="1:4" ht="12.75">
      <c r="A378" t="s">
        <v>34</v>
      </c>
      <c r="B378" t="s">
        <v>34</v>
      </c>
      <c r="C378" t="s">
        <v>34</v>
      </c>
      <c r="D378" t="s">
        <v>409</v>
      </c>
    </row>
    <row r="379" spans="1:4" ht="12.75">
      <c r="A379" t="s">
        <v>409</v>
      </c>
      <c r="B379" t="s">
        <v>409</v>
      </c>
      <c r="C379" t="s">
        <v>409</v>
      </c>
      <c r="D379" t="s">
        <v>34</v>
      </c>
    </row>
    <row r="380" spans="1:4" ht="12.75">
      <c r="A380" t="s">
        <v>89</v>
      </c>
      <c r="B380" t="s">
        <v>89</v>
      </c>
      <c r="C380" t="s">
        <v>89</v>
      </c>
      <c r="D380" t="s">
        <v>94</v>
      </c>
    </row>
    <row r="381" spans="1:4" ht="12.75">
      <c r="A381" t="s">
        <v>94</v>
      </c>
      <c r="B381" t="s">
        <v>94</v>
      </c>
      <c r="C381" t="s">
        <v>94</v>
      </c>
      <c r="D381" t="s">
        <v>411</v>
      </c>
    </row>
    <row r="382" spans="1:4" ht="12.75">
      <c r="A382" t="s">
        <v>411</v>
      </c>
      <c r="B382" t="s">
        <v>411</v>
      </c>
      <c r="C382" t="s">
        <v>411</v>
      </c>
      <c r="D382" t="s">
        <v>638</v>
      </c>
    </row>
    <row r="383" spans="1:4" ht="12.75">
      <c r="A383" t="s">
        <v>53</v>
      </c>
      <c r="B383" t="s">
        <v>66</v>
      </c>
      <c r="C383" t="s">
        <v>53</v>
      </c>
      <c r="D383" t="s">
        <v>69</v>
      </c>
    </row>
    <row r="384" spans="1:4" ht="12.75">
      <c r="A384" t="s">
        <v>638</v>
      </c>
      <c r="B384" t="s">
        <v>41</v>
      </c>
      <c r="C384" t="s">
        <v>638</v>
      </c>
      <c r="D384" t="s">
        <v>85</v>
      </c>
    </row>
    <row r="385" spans="1:4" ht="12.75">
      <c r="A385" t="s">
        <v>69</v>
      </c>
      <c r="B385" t="s">
        <v>85</v>
      </c>
      <c r="D385" t="s">
        <v>595</v>
      </c>
    </row>
    <row r="386" spans="1:4" ht="12.75">
      <c r="A386" t="s">
        <v>85</v>
      </c>
      <c r="B386" t="s">
        <v>61</v>
      </c>
      <c r="D386" t="s">
        <v>61</v>
      </c>
    </row>
    <row r="387" ht="12.75">
      <c r="A387" t="s">
        <v>595</v>
      </c>
    </row>
    <row r="388" ht="12.75">
      <c r="A388" t="s">
        <v>61</v>
      </c>
    </row>
    <row r="389" spans="4:5" ht="12.75">
      <c r="D389" s="14" t="s">
        <v>566</v>
      </c>
      <c r="E389" s="14" t="s">
        <v>567</v>
      </c>
    </row>
    <row r="390" spans="1:5" ht="12.75">
      <c r="A390" s="14" t="s">
        <v>560</v>
      </c>
      <c r="B390" s="14" t="s">
        <v>556</v>
      </c>
      <c r="C390" s="14" t="s">
        <v>561</v>
      </c>
      <c r="D390" t="s">
        <v>32</v>
      </c>
      <c r="E390" t="s">
        <v>84</v>
      </c>
    </row>
    <row r="391" spans="1:5" ht="12.75">
      <c r="A391" t="s">
        <v>32</v>
      </c>
      <c r="B391" t="s">
        <v>32</v>
      </c>
      <c r="C391" t="s">
        <v>32</v>
      </c>
      <c r="D391" t="s">
        <v>407</v>
      </c>
      <c r="E391" t="s">
        <v>32</v>
      </c>
    </row>
    <row r="392" spans="1:5" ht="12.75">
      <c r="A392" t="s">
        <v>407</v>
      </c>
      <c r="B392" t="s">
        <v>407</v>
      </c>
      <c r="C392" t="s">
        <v>407</v>
      </c>
      <c r="D392" t="s">
        <v>410</v>
      </c>
      <c r="E392" t="s">
        <v>407</v>
      </c>
    </row>
    <row r="393" spans="1:5" ht="12.75">
      <c r="A393" t="s">
        <v>410</v>
      </c>
      <c r="B393" t="s">
        <v>410</v>
      </c>
      <c r="C393" t="s">
        <v>410</v>
      </c>
      <c r="D393" t="s">
        <v>409</v>
      </c>
      <c r="E393" t="s">
        <v>410</v>
      </c>
    </row>
    <row r="394" spans="1:5" ht="12.75">
      <c r="A394" t="s">
        <v>409</v>
      </c>
      <c r="B394" t="s">
        <v>409</v>
      </c>
      <c r="C394" t="s">
        <v>409</v>
      </c>
      <c r="D394" t="s">
        <v>34</v>
      </c>
      <c r="E394" t="s">
        <v>409</v>
      </c>
    </row>
    <row r="395" spans="1:5" ht="12.75">
      <c r="A395" t="s">
        <v>34</v>
      </c>
      <c r="B395" t="s">
        <v>34</v>
      </c>
      <c r="C395" t="s">
        <v>34</v>
      </c>
      <c r="D395" t="s">
        <v>568</v>
      </c>
      <c r="E395" t="s">
        <v>34</v>
      </c>
    </row>
    <row r="396" spans="1:5" ht="12.75">
      <c r="A396" t="s">
        <v>557</v>
      </c>
      <c r="B396" t="s">
        <v>557</v>
      </c>
      <c r="C396" t="s">
        <v>557</v>
      </c>
      <c r="D396" t="s">
        <v>79</v>
      </c>
      <c r="E396" t="s">
        <v>557</v>
      </c>
    </row>
    <row r="397" spans="1:5" ht="12.75">
      <c r="A397" t="s">
        <v>558</v>
      </c>
      <c r="B397" t="s">
        <v>568</v>
      </c>
      <c r="C397" t="s">
        <v>568</v>
      </c>
      <c r="D397" t="s">
        <v>80</v>
      </c>
      <c r="E397" t="s">
        <v>568</v>
      </c>
    </row>
    <row r="398" spans="1:5" ht="12.75">
      <c r="A398" t="s">
        <v>568</v>
      </c>
      <c r="B398" t="s">
        <v>411</v>
      </c>
      <c r="C398" t="s">
        <v>411</v>
      </c>
      <c r="D398" t="s">
        <v>39</v>
      </c>
      <c r="E398" t="s">
        <v>411</v>
      </c>
    </row>
    <row r="399" spans="1:5" ht="12.75">
      <c r="A399" t="s">
        <v>411</v>
      </c>
      <c r="B399" t="s">
        <v>79</v>
      </c>
      <c r="C399" t="s">
        <v>41</v>
      </c>
      <c r="D399" t="s">
        <v>48</v>
      </c>
      <c r="E399" t="s">
        <v>79</v>
      </c>
    </row>
    <row r="400" spans="1:5" ht="12.75">
      <c r="A400" t="s">
        <v>79</v>
      </c>
      <c r="B400" t="s">
        <v>80</v>
      </c>
      <c r="C400" t="s">
        <v>43</v>
      </c>
      <c r="D400" t="s">
        <v>49</v>
      </c>
      <c r="E400" t="s">
        <v>80</v>
      </c>
    </row>
    <row r="401" spans="1:5" ht="12.75">
      <c r="A401" t="s">
        <v>80</v>
      </c>
      <c r="B401" t="s">
        <v>44</v>
      </c>
      <c r="C401" t="s">
        <v>559</v>
      </c>
      <c r="D401" t="s">
        <v>59</v>
      </c>
      <c r="E401" t="s">
        <v>44</v>
      </c>
    </row>
    <row r="402" spans="1:5" ht="12.75">
      <c r="A402" t="s">
        <v>44</v>
      </c>
      <c r="B402" t="s">
        <v>48</v>
      </c>
      <c r="D402" t="s">
        <v>562</v>
      </c>
      <c r="E402" t="s">
        <v>48</v>
      </c>
    </row>
    <row r="403" spans="1:5" ht="12.75">
      <c r="A403" t="s">
        <v>48</v>
      </c>
      <c r="B403" t="s">
        <v>49</v>
      </c>
      <c r="D403" t="s">
        <v>563</v>
      </c>
      <c r="E403" t="s">
        <v>49</v>
      </c>
    </row>
    <row r="404" spans="1:5" ht="12.75">
      <c r="A404" t="s">
        <v>49</v>
      </c>
      <c r="B404" s="32" t="s">
        <v>43</v>
      </c>
      <c r="D404" t="s">
        <v>564</v>
      </c>
      <c r="E404" s="32" t="s">
        <v>43</v>
      </c>
    </row>
    <row r="405" spans="1:5" ht="12.75">
      <c r="A405" s="32" t="s">
        <v>43</v>
      </c>
      <c r="B405" s="32" t="s">
        <v>559</v>
      </c>
      <c r="D405" t="s">
        <v>565</v>
      </c>
      <c r="E405" s="32" t="s">
        <v>559</v>
      </c>
    </row>
    <row r="406" spans="1:5" ht="12.75">
      <c r="A406" s="32" t="s">
        <v>559</v>
      </c>
      <c r="B406" s="32" t="s">
        <v>61</v>
      </c>
      <c r="D406" s="32" t="s">
        <v>559</v>
      </c>
      <c r="E406" s="32" t="s">
        <v>61</v>
      </c>
    </row>
    <row r="407" spans="1:5" ht="12.75">
      <c r="A407" s="32" t="s">
        <v>61</v>
      </c>
      <c r="B407" s="32" t="s">
        <v>69</v>
      </c>
      <c r="D407" s="32" t="s">
        <v>61</v>
      </c>
      <c r="E407" s="32" t="s">
        <v>69</v>
      </c>
    </row>
    <row r="408" spans="1:4" ht="12.75">
      <c r="A408" s="32" t="s">
        <v>69</v>
      </c>
      <c r="D408" s="32" t="s">
        <v>69</v>
      </c>
    </row>
    <row r="410" ht="12.75">
      <c r="D410" s="14" t="s">
        <v>652</v>
      </c>
    </row>
    <row r="411" spans="1:4" ht="12.75">
      <c r="A411" s="14" t="s">
        <v>642</v>
      </c>
      <c r="B411" s="14" t="s">
        <v>649</v>
      </c>
      <c r="C411" s="14" t="s">
        <v>650</v>
      </c>
      <c r="D411" t="s">
        <v>32</v>
      </c>
    </row>
    <row r="412" spans="1:4" ht="12.75">
      <c r="A412" t="s">
        <v>643</v>
      </c>
      <c r="B412" t="s">
        <v>657</v>
      </c>
      <c r="C412" t="s">
        <v>32</v>
      </c>
      <c r="D412" t="s">
        <v>407</v>
      </c>
    </row>
    <row r="413" spans="1:4" ht="12.75">
      <c r="A413" t="s">
        <v>644</v>
      </c>
      <c r="B413" t="s">
        <v>658</v>
      </c>
      <c r="C413" t="s">
        <v>407</v>
      </c>
      <c r="D413" t="s">
        <v>410</v>
      </c>
    </row>
    <row r="414" spans="1:4" ht="12.75">
      <c r="A414" t="s">
        <v>645</v>
      </c>
      <c r="B414" t="s">
        <v>659</v>
      </c>
      <c r="C414" t="s">
        <v>410</v>
      </c>
      <c r="D414" t="s">
        <v>409</v>
      </c>
    </row>
    <row r="415" spans="1:4" ht="12.75">
      <c r="A415" t="s">
        <v>646</v>
      </c>
      <c r="B415" t="s">
        <v>660</v>
      </c>
      <c r="C415" t="s">
        <v>409</v>
      </c>
      <c r="D415" t="s">
        <v>34</v>
      </c>
    </row>
    <row r="416" spans="2:4" ht="12.75">
      <c r="B416" t="s">
        <v>647</v>
      </c>
      <c r="C416" t="s">
        <v>34</v>
      </c>
      <c r="D416" t="s">
        <v>94</v>
      </c>
    </row>
    <row r="417" spans="2:4" ht="12.75">
      <c r="B417" t="s">
        <v>648</v>
      </c>
      <c r="C417" t="s">
        <v>94</v>
      </c>
      <c r="D417" t="s">
        <v>53</v>
      </c>
    </row>
    <row r="418" spans="3:4" ht="12.75">
      <c r="C418" t="s">
        <v>53</v>
      </c>
      <c r="D418" t="s">
        <v>651</v>
      </c>
    </row>
    <row r="419" spans="3:4" ht="12.75">
      <c r="C419" t="s">
        <v>651</v>
      </c>
      <c r="D419" t="s">
        <v>50</v>
      </c>
    </row>
    <row r="420" spans="3:4" ht="12.75">
      <c r="C420" t="s">
        <v>61</v>
      </c>
      <c r="D420" t="s">
        <v>1025</v>
      </c>
    </row>
    <row r="421" spans="3:4" ht="12.75">
      <c r="C421" t="s">
        <v>69</v>
      </c>
      <c r="D421" t="s">
        <v>1024</v>
      </c>
    </row>
    <row r="422" ht="12.75">
      <c r="D422" t="s">
        <v>1020</v>
      </c>
    </row>
    <row r="423" ht="12.75">
      <c r="D423" t="s">
        <v>1017</v>
      </c>
    </row>
    <row r="424" ht="12.75">
      <c r="D424" t="s">
        <v>1027</v>
      </c>
    </row>
    <row r="426" spans="1:2" ht="12.75">
      <c r="A426" s="14" t="s">
        <v>662</v>
      </c>
      <c r="B426" s="14" t="s">
        <v>661</v>
      </c>
    </row>
    <row r="427" spans="1:2" ht="12.75">
      <c r="A427" t="s">
        <v>32</v>
      </c>
      <c r="B427" t="s">
        <v>32</v>
      </c>
    </row>
    <row r="428" spans="1:2" ht="12.75">
      <c r="A428" t="s">
        <v>407</v>
      </c>
      <c r="B428" t="s">
        <v>407</v>
      </c>
    </row>
    <row r="429" spans="1:2" ht="12.75">
      <c r="A429" t="s">
        <v>94</v>
      </c>
      <c r="B429" t="s">
        <v>94</v>
      </c>
    </row>
    <row r="430" spans="1:2" ht="12.75">
      <c r="A430" t="s">
        <v>411</v>
      </c>
      <c r="B430" t="s">
        <v>411</v>
      </c>
    </row>
    <row r="431" spans="1:2" ht="12.75">
      <c r="A431" t="s">
        <v>89</v>
      </c>
      <c r="B431" t="s">
        <v>89</v>
      </c>
    </row>
    <row r="432" spans="1:2" ht="12.75">
      <c r="A432" t="s">
        <v>41</v>
      </c>
      <c r="B432" t="s">
        <v>41</v>
      </c>
    </row>
    <row r="433" spans="1:2" ht="12.75">
      <c r="A433" t="s">
        <v>71</v>
      </c>
      <c r="B433" t="s">
        <v>71</v>
      </c>
    </row>
    <row r="434" spans="1:2" ht="12.75">
      <c r="A434" t="s">
        <v>663</v>
      </c>
      <c r="B434" t="s">
        <v>663</v>
      </c>
    </row>
    <row r="435" spans="1:2" ht="12.75">
      <c r="A435" t="s">
        <v>61</v>
      </c>
      <c r="B435" t="s">
        <v>61</v>
      </c>
    </row>
    <row r="436" spans="1:2" ht="12.75">
      <c r="A436" t="s">
        <v>69</v>
      </c>
      <c r="B436" t="s">
        <v>69</v>
      </c>
    </row>
    <row r="437" spans="1:2" ht="12.75">
      <c r="A437" t="s">
        <v>85</v>
      </c>
      <c r="B437" t="s">
        <v>85</v>
      </c>
    </row>
    <row r="438" spans="1:2" ht="12.75">
      <c r="A438" t="s">
        <v>595</v>
      </c>
      <c r="B438" t="s">
        <v>1041</v>
      </c>
    </row>
    <row r="439" spans="1:2" ht="12.75">
      <c r="A439" t="s">
        <v>664</v>
      </c>
      <c r="B439" t="s">
        <v>595</v>
      </c>
    </row>
    <row r="440" ht="12.75">
      <c r="A440" t="s">
        <v>665</v>
      </c>
    </row>
    <row r="441" ht="12.75">
      <c r="A441" t="s">
        <v>1041</v>
      </c>
    </row>
    <row r="442" ht="12.75">
      <c r="A442" t="s">
        <v>667</v>
      </c>
    </row>
    <row r="443" ht="12.75">
      <c r="A443" t="s">
        <v>668</v>
      </c>
    </row>
    <row r="444" ht="12.75">
      <c r="A444" t="s">
        <v>1029</v>
      </c>
    </row>
    <row r="445" ht="12.75">
      <c r="A445" t="s">
        <v>1030</v>
      </c>
    </row>
    <row r="446" ht="12.75">
      <c r="A446" t="s">
        <v>1031</v>
      </c>
    </row>
    <row r="447" ht="12.75">
      <c r="A447" t="s">
        <v>1032</v>
      </c>
    </row>
    <row r="448" ht="12.75">
      <c r="A448" t="s">
        <v>1033</v>
      </c>
    </row>
    <row r="449" ht="12.75">
      <c r="A449" t="s">
        <v>1034</v>
      </c>
    </row>
    <row r="450" ht="12.75">
      <c r="B450" s="14" t="s">
        <v>677</v>
      </c>
    </row>
    <row r="451" spans="1:2" ht="12.75">
      <c r="A451" s="14" t="s">
        <v>679</v>
      </c>
      <c r="B451" t="s">
        <v>32</v>
      </c>
    </row>
    <row r="452" spans="1:2" ht="12.75">
      <c r="A452" t="s">
        <v>32</v>
      </c>
      <c r="B452" t="s">
        <v>407</v>
      </c>
    </row>
    <row r="453" spans="1:2" ht="12.75">
      <c r="A453" t="s">
        <v>407</v>
      </c>
      <c r="B453" t="s">
        <v>552</v>
      </c>
    </row>
    <row r="454" spans="1:2" ht="12.75">
      <c r="A454" t="s">
        <v>552</v>
      </c>
      <c r="B454" t="s">
        <v>407</v>
      </c>
    </row>
    <row r="455" spans="1:2" ht="12.75">
      <c r="A455" t="s">
        <v>407</v>
      </c>
      <c r="B455" t="s">
        <v>410</v>
      </c>
    </row>
    <row r="456" spans="1:2" ht="12.75">
      <c r="A456" t="s">
        <v>410</v>
      </c>
      <c r="B456" t="s">
        <v>34</v>
      </c>
    </row>
    <row r="457" spans="1:2" ht="12.75">
      <c r="A457" t="s">
        <v>34</v>
      </c>
      <c r="B457" t="s">
        <v>94</v>
      </c>
    </row>
    <row r="458" spans="1:2" ht="12.75">
      <c r="A458" t="s">
        <v>94</v>
      </c>
      <c r="B458" t="s">
        <v>89</v>
      </c>
    </row>
    <row r="459" spans="1:2" ht="12.75">
      <c r="A459" t="s">
        <v>89</v>
      </c>
      <c r="B459" t="s">
        <v>411</v>
      </c>
    </row>
    <row r="460" spans="1:2" ht="12.75">
      <c r="A460" t="s">
        <v>411</v>
      </c>
      <c r="B460" t="s">
        <v>86</v>
      </c>
    </row>
    <row r="461" spans="1:2" ht="12.75">
      <c r="A461" t="s">
        <v>86</v>
      </c>
      <c r="B461" t="s">
        <v>41</v>
      </c>
    </row>
    <row r="462" spans="1:2" ht="12.75">
      <c r="A462" t="s">
        <v>41</v>
      </c>
      <c r="B462" t="s">
        <v>61</v>
      </c>
    </row>
    <row r="463" spans="1:2" ht="12.75">
      <c r="A463" t="s">
        <v>71</v>
      </c>
      <c r="B463" t="s">
        <v>85</v>
      </c>
    </row>
    <row r="464" ht="12.75">
      <c r="A464" t="s">
        <v>69</v>
      </c>
    </row>
    <row r="465" ht="12.75">
      <c r="A465" t="s">
        <v>61</v>
      </c>
    </row>
    <row r="466" ht="12.75">
      <c r="A466" t="s">
        <v>85</v>
      </c>
    </row>
    <row r="467" ht="12.75">
      <c r="A467" t="s">
        <v>595</v>
      </c>
    </row>
    <row r="468" ht="12.75">
      <c r="A468" t="s">
        <v>1052</v>
      </c>
    </row>
    <row r="469" ht="12.75">
      <c r="A469" t="s">
        <v>54</v>
      </c>
    </row>
    <row r="470" ht="12.75">
      <c r="D470" s="14" t="s">
        <v>554</v>
      </c>
    </row>
    <row r="471" spans="2:4" ht="12.75">
      <c r="B471" s="14" t="s">
        <v>547</v>
      </c>
      <c r="C471" s="14" t="s">
        <v>548</v>
      </c>
      <c r="D471" t="s">
        <v>32</v>
      </c>
    </row>
    <row r="472" spans="1:4" ht="12.75">
      <c r="A472" s="14" t="s">
        <v>551</v>
      </c>
      <c r="B472" t="s">
        <v>32</v>
      </c>
      <c r="C472" t="s">
        <v>32</v>
      </c>
      <c r="D472" t="s">
        <v>407</v>
      </c>
    </row>
    <row r="473" spans="1:4" ht="12.75">
      <c r="A473" t="s">
        <v>32</v>
      </c>
      <c r="B473" t="s">
        <v>407</v>
      </c>
      <c r="C473" t="s">
        <v>407</v>
      </c>
      <c r="D473" t="s">
        <v>410</v>
      </c>
    </row>
    <row r="474" spans="1:4" ht="12.75">
      <c r="A474" t="s">
        <v>407</v>
      </c>
      <c r="B474" t="s">
        <v>410</v>
      </c>
      <c r="C474" t="s">
        <v>410</v>
      </c>
      <c r="D474" t="s">
        <v>552</v>
      </c>
    </row>
    <row r="475" spans="1:4" ht="12.75">
      <c r="A475" t="s">
        <v>410</v>
      </c>
      <c r="B475" t="s">
        <v>34</v>
      </c>
      <c r="C475" t="s">
        <v>552</v>
      </c>
      <c r="D475" t="s">
        <v>94</v>
      </c>
    </row>
    <row r="476" spans="1:4" ht="12.75">
      <c r="A476" t="s">
        <v>34</v>
      </c>
      <c r="B476" t="s">
        <v>94</v>
      </c>
      <c r="C476" t="s">
        <v>94</v>
      </c>
      <c r="D476" t="s">
        <v>74</v>
      </c>
    </row>
    <row r="477" spans="1:3" ht="12.75">
      <c r="A477" t="s">
        <v>94</v>
      </c>
      <c r="B477" t="s">
        <v>57</v>
      </c>
      <c r="C477" t="s">
        <v>74</v>
      </c>
    </row>
    <row r="478" spans="1:3" ht="12.75">
      <c r="A478" t="s">
        <v>57</v>
      </c>
      <c r="B478" t="s">
        <v>89</v>
      </c>
      <c r="C478" t="s">
        <v>553</v>
      </c>
    </row>
    <row r="479" spans="1:2" ht="12.75">
      <c r="A479" t="s">
        <v>89</v>
      </c>
      <c r="B479" t="s">
        <v>74</v>
      </c>
    </row>
    <row r="480" spans="1:2" ht="12.75">
      <c r="A480" t="s">
        <v>74</v>
      </c>
      <c r="B480" t="s">
        <v>411</v>
      </c>
    </row>
    <row r="481" spans="1:2" ht="12.75">
      <c r="A481" t="s">
        <v>411</v>
      </c>
      <c r="B481" t="s">
        <v>53</v>
      </c>
    </row>
    <row r="482" spans="1:2" ht="12.75">
      <c r="A482" t="s">
        <v>53</v>
      </c>
      <c r="B482" t="s">
        <v>41</v>
      </c>
    </row>
    <row r="483" spans="1:2" ht="12.75">
      <c r="A483" t="s">
        <v>41</v>
      </c>
      <c r="B483" t="s">
        <v>85</v>
      </c>
    </row>
    <row r="484" spans="1:2" ht="12.75">
      <c r="A484" t="s">
        <v>595</v>
      </c>
      <c r="B484" t="s">
        <v>595</v>
      </c>
    </row>
    <row r="485" spans="1:2" ht="12.75">
      <c r="A485" t="s">
        <v>549</v>
      </c>
      <c r="B485" t="s">
        <v>69</v>
      </c>
    </row>
    <row r="486" ht="12.75">
      <c r="A486" t="s">
        <v>550</v>
      </c>
    </row>
    <row r="487" ht="12.75">
      <c r="A487" t="s">
        <v>85</v>
      </c>
    </row>
    <row r="488" ht="12.75">
      <c r="A488" t="s">
        <v>69</v>
      </c>
    </row>
    <row r="489" ht="12.75">
      <c r="B489" s="14" t="s">
        <v>497</v>
      </c>
    </row>
    <row r="490" spans="1:2" ht="12.75">
      <c r="A490" s="14" t="s">
        <v>496</v>
      </c>
      <c r="B490" t="s">
        <v>69</v>
      </c>
    </row>
    <row r="491" spans="1:2" ht="12.75">
      <c r="A491" t="s">
        <v>32</v>
      </c>
      <c r="B491" t="s">
        <v>60</v>
      </c>
    </row>
    <row r="492" spans="1:2" ht="12.75">
      <c r="A492" t="s">
        <v>407</v>
      </c>
      <c r="B492" t="s">
        <v>85</v>
      </c>
    </row>
    <row r="493" spans="1:2" ht="12.75">
      <c r="A493" t="s">
        <v>410</v>
      </c>
      <c r="B493" t="s">
        <v>43</v>
      </c>
    </row>
    <row r="494" spans="1:2" ht="12.75">
      <c r="A494" t="s">
        <v>409</v>
      </c>
      <c r="B494" t="s">
        <v>61</v>
      </c>
    </row>
    <row r="495" ht="12.75">
      <c r="A495" t="s">
        <v>34</v>
      </c>
    </row>
    <row r="496" ht="12.75">
      <c r="A496" t="s">
        <v>94</v>
      </c>
    </row>
    <row r="497" ht="12.75">
      <c r="A497" t="s">
        <v>411</v>
      </c>
    </row>
    <row r="498" ht="12.75">
      <c r="A498" t="s">
        <v>89</v>
      </c>
    </row>
    <row r="499" ht="12.75">
      <c r="A499" t="s">
        <v>57</v>
      </c>
    </row>
    <row r="500" ht="12.75">
      <c r="A500" t="s">
        <v>86</v>
      </c>
    </row>
    <row r="501" ht="12.75">
      <c r="A501" t="s">
        <v>41</v>
      </c>
    </row>
    <row r="502" ht="12.75">
      <c r="A502" t="s">
        <v>69</v>
      </c>
    </row>
    <row r="503" ht="12.75">
      <c r="A503" t="s">
        <v>60</v>
      </c>
    </row>
    <row r="504" ht="12.75">
      <c r="A504" t="s">
        <v>85</v>
      </c>
    </row>
    <row r="505" ht="12.75">
      <c r="A505" t="s">
        <v>43</v>
      </c>
    </row>
    <row r="506" ht="12.75">
      <c r="A506" t="s">
        <v>61</v>
      </c>
    </row>
    <row r="507" spans="2:3" ht="12.75">
      <c r="B507" s="14" t="s">
        <v>511</v>
      </c>
      <c r="C507" s="14" t="s">
        <v>521</v>
      </c>
    </row>
    <row r="508" spans="1:3" ht="12.75">
      <c r="A508" s="14" t="s">
        <v>506</v>
      </c>
      <c r="B508" t="s">
        <v>32</v>
      </c>
      <c r="C508" t="s">
        <v>32</v>
      </c>
    </row>
    <row r="509" spans="1:3" ht="12.75">
      <c r="A509" t="s">
        <v>32</v>
      </c>
      <c r="B509" t="s">
        <v>407</v>
      </c>
      <c r="C509" t="s">
        <v>407</v>
      </c>
    </row>
    <row r="510" spans="1:3" ht="12.75">
      <c r="A510" t="s">
        <v>407</v>
      </c>
      <c r="B510" t="s">
        <v>410</v>
      </c>
      <c r="C510" t="s">
        <v>410</v>
      </c>
    </row>
    <row r="511" spans="1:3" ht="12.75">
      <c r="A511" t="s">
        <v>410</v>
      </c>
      <c r="B511" t="s">
        <v>415</v>
      </c>
      <c r="C511" t="s">
        <v>415</v>
      </c>
    </row>
    <row r="512" spans="1:3" ht="12.75">
      <c r="A512" t="s">
        <v>415</v>
      </c>
      <c r="B512" t="s">
        <v>409</v>
      </c>
      <c r="C512" t="s">
        <v>409</v>
      </c>
    </row>
    <row r="513" spans="1:3" ht="12.75">
      <c r="A513" t="s">
        <v>409</v>
      </c>
      <c r="B513" t="s">
        <v>442</v>
      </c>
      <c r="C513" t="s">
        <v>442</v>
      </c>
    </row>
    <row r="514" spans="1:3" ht="12.75">
      <c r="A514" t="s">
        <v>442</v>
      </c>
      <c r="B514" t="s">
        <v>94</v>
      </c>
      <c r="C514" t="s">
        <v>94</v>
      </c>
    </row>
    <row r="515" spans="1:3" ht="12.75">
      <c r="A515" t="s">
        <v>94</v>
      </c>
      <c r="B515" t="s">
        <v>89</v>
      </c>
      <c r="C515" t="s">
        <v>89</v>
      </c>
    </row>
    <row r="516" spans="1:3" ht="12.75">
      <c r="A516" t="s">
        <v>89</v>
      </c>
      <c r="B516" t="s">
        <v>515</v>
      </c>
      <c r="C516" t="s">
        <v>515</v>
      </c>
    </row>
    <row r="517" spans="1:3" ht="12.75">
      <c r="A517" t="s">
        <v>515</v>
      </c>
      <c r="B517" t="s">
        <v>74</v>
      </c>
      <c r="C517" t="s">
        <v>74</v>
      </c>
    </row>
    <row r="518" spans="1:3" ht="12.75">
      <c r="A518" t="s">
        <v>74</v>
      </c>
      <c r="B518" t="s">
        <v>411</v>
      </c>
      <c r="C518" t="s">
        <v>411</v>
      </c>
    </row>
    <row r="519" spans="1:3" ht="12.75">
      <c r="A519" t="s">
        <v>411</v>
      </c>
      <c r="B519" t="s">
        <v>86</v>
      </c>
      <c r="C519" t="s">
        <v>86</v>
      </c>
    </row>
    <row r="520" spans="1:3" ht="12.75">
      <c r="A520" t="s">
        <v>86</v>
      </c>
      <c r="B520" t="s">
        <v>66</v>
      </c>
      <c r="C520" t="s">
        <v>66</v>
      </c>
    </row>
    <row r="521" spans="1:3" ht="12.75">
      <c r="A521" t="s">
        <v>66</v>
      </c>
      <c r="B521" t="s">
        <v>85</v>
      </c>
      <c r="C521" t="s">
        <v>85</v>
      </c>
    </row>
    <row r="522" spans="1:3" ht="12.75">
      <c r="A522" t="s">
        <v>85</v>
      </c>
      <c r="B522" t="s">
        <v>61</v>
      </c>
      <c r="C522" t="s">
        <v>61</v>
      </c>
    </row>
    <row r="523" spans="1:3" ht="12.75">
      <c r="A523" t="s">
        <v>61</v>
      </c>
      <c r="B523" t="s">
        <v>69</v>
      </c>
      <c r="C523" t="s">
        <v>69</v>
      </c>
    </row>
    <row r="524" spans="1:3" ht="12.75">
      <c r="A524" t="s">
        <v>69</v>
      </c>
      <c r="B524" t="s">
        <v>63</v>
      </c>
      <c r="C524" t="s">
        <v>63</v>
      </c>
    </row>
    <row r="525" spans="1:3" ht="12.75">
      <c r="A525" t="s">
        <v>60</v>
      </c>
      <c r="B525" t="s">
        <v>37</v>
      </c>
      <c r="C525" t="s">
        <v>37</v>
      </c>
    </row>
    <row r="526" spans="1:3" ht="12.75">
      <c r="A526" t="s">
        <v>517</v>
      </c>
      <c r="B526" t="s">
        <v>67</v>
      </c>
      <c r="C526" t="s">
        <v>67</v>
      </c>
    </row>
    <row r="527" spans="1:3" ht="12.75">
      <c r="A527" t="s">
        <v>63</v>
      </c>
      <c r="B527" t="s">
        <v>519</v>
      </c>
      <c r="C527" t="s">
        <v>519</v>
      </c>
    </row>
    <row r="528" spans="1:3" ht="12.75">
      <c r="A528" t="s">
        <v>37</v>
      </c>
      <c r="B528" t="s">
        <v>520</v>
      </c>
      <c r="C528" t="s">
        <v>520</v>
      </c>
    </row>
    <row r="529" spans="1:3" ht="12.75">
      <c r="A529" t="s">
        <v>67</v>
      </c>
      <c r="C529" t="s">
        <v>518</v>
      </c>
    </row>
    <row r="530" ht="12.75">
      <c r="A530" t="s">
        <v>518</v>
      </c>
    </row>
    <row r="531" ht="12.75">
      <c r="A531" t="s">
        <v>519</v>
      </c>
    </row>
    <row r="532" ht="12.75">
      <c r="A532" t="s">
        <v>520</v>
      </c>
    </row>
    <row r="533" ht="12.75">
      <c r="A533" t="s">
        <v>522</v>
      </c>
    </row>
    <row r="535" spans="1:5" ht="12.75">
      <c r="A535" s="14" t="s">
        <v>956</v>
      </c>
      <c r="B535" s="14" t="s">
        <v>948</v>
      </c>
      <c r="C535" s="14" t="s">
        <v>965</v>
      </c>
      <c r="D535" s="14" t="s">
        <v>969</v>
      </c>
      <c r="E535" s="14" t="s">
        <v>951</v>
      </c>
    </row>
    <row r="536" spans="1:5" ht="12.75">
      <c r="A536" t="s">
        <v>34</v>
      </c>
      <c r="B536" t="s">
        <v>34</v>
      </c>
      <c r="C536" t="s">
        <v>34</v>
      </c>
      <c r="D536" t="s">
        <v>970</v>
      </c>
      <c r="E536" t="s">
        <v>32</v>
      </c>
    </row>
    <row r="537" spans="1:5" ht="12.75">
      <c r="A537" t="s">
        <v>94</v>
      </c>
      <c r="B537" t="s">
        <v>94</v>
      </c>
      <c r="C537" t="s">
        <v>409</v>
      </c>
      <c r="E537" t="s">
        <v>407</v>
      </c>
    </row>
    <row r="538" spans="1:5" ht="12.75">
      <c r="A538" t="s">
        <v>957</v>
      </c>
      <c r="B538" t="s">
        <v>957</v>
      </c>
      <c r="C538" t="s">
        <v>966</v>
      </c>
      <c r="E538" t="s">
        <v>34</v>
      </c>
    </row>
    <row r="539" spans="1:5" ht="12.75">
      <c r="A539" t="s">
        <v>411</v>
      </c>
      <c r="B539" t="s">
        <v>411</v>
      </c>
      <c r="C539" t="s">
        <v>963</v>
      </c>
      <c r="E539" t="s">
        <v>94</v>
      </c>
    </row>
    <row r="540" spans="1:5" ht="12.75">
      <c r="A540" t="s">
        <v>958</v>
      </c>
      <c r="B540" t="s">
        <v>958</v>
      </c>
      <c r="C540" t="s">
        <v>967</v>
      </c>
      <c r="E540" t="s">
        <v>89</v>
      </c>
    </row>
    <row r="541" spans="1:5" ht="12.75">
      <c r="A541" t="s">
        <v>959</v>
      </c>
      <c r="B541" t="s">
        <v>69</v>
      </c>
      <c r="C541" t="s">
        <v>968</v>
      </c>
      <c r="E541" t="s">
        <v>74</v>
      </c>
    </row>
    <row r="542" spans="1:5" ht="12.75">
      <c r="A542" t="s">
        <v>59</v>
      </c>
      <c r="B542" t="s">
        <v>61</v>
      </c>
      <c r="E542" t="s">
        <v>88</v>
      </c>
    </row>
    <row r="543" spans="1:5" ht="12.75">
      <c r="A543" t="s">
        <v>960</v>
      </c>
      <c r="B543" t="s">
        <v>961</v>
      </c>
      <c r="E543" t="s">
        <v>61</v>
      </c>
    </row>
    <row r="544" spans="1:5" ht="12.75">
      <c r="A544" t="s">
        <v>69</v>
      </c>
      <c r="B544" t="s">
        <v>963</v>
      </c>
      <c r="E544" t="s">
        <v>43</v>
      </c>
    </row>
    <row r="545" spans="1:5" ht="12.75">
      <c r="A545" t="s">
        <v>61</v>
      </c>
      <c r="B545" t="s">
        <v>964</v>
      </c>
      <c r="E545" t="s">
        <v>85</v>
      </c>
    </row>
    <row r="546" ht="12.75">
      <c r="A546" t="s">
        <v>961</v>
      </c>
    </row>
    <row r="547" ht="12.75">
      <c r="A547" t="s">
        <v>962</v>
      </c>
    </row>
    <row r="548" ht="12.75">
      <c r="A548" t="s">
        <v>963</v>
      </c>
    </row>
    <row r="549" ht="12.75">
      <c r="A549" t="s">
        <v>964</v>
      </c>
    </row>
    <row r="551" spans="1:2" ht="12.75">
      <c r="A551" s="14" t="s">
        <v>1079</v>
      </c>
      <c r="B551" s="14" t="s">
        <v>1080</v>
      </c>
    </row>
    <row r="552" spans="1:2" ht="12.75">
      <c r="A552" t="s">
        <v>407</v>
      </c>
      <c r="B552" t="s">
        <v>407</v>
      </c>
    </row>
    <row r="553" spans="1:2" ht="12.75">
      <c r="A553" t="s">
        <v>32</v>
      </c>
      <c r="B553" t="s">
        <v>32</v>
      </c>
    </row>
    <row r="554" spans="1:2" ht="12.75">
      <c r="A554" t="s">
        <v>415</v>
      </c>
      <c r="B554" t="s">
        <v>415</v>
      </c>
    </row>
    <row r="555" spans="1:2" ht="12.75">
      <c r="A555" t="s">
        <v>34</v>
      </c>
      <c r="B555" t="s">
        <v>34</v>
      </c>
    </row>
    <row r="556" spans="1:2" ht="12.75">
      <c r="A556" t="s">
        <v>89</v>
      </c>
      <c r="B556" t="s">
        <v>53</v>
      </c>
    </row>
    <row r="557" spans="1:2" ht="12.75">
      <c r="A557" t="s">
        <v>94</v>
      </c>
      <c r="B557" t="s">
        <v>411</v>
      </c>
    </row>
    <row r="558" spans="1:2" ht="12.75">
      <c r="A558" t="s">
        <v>411</v>
      </c>
      <c r="B558" t="s">
        <v>88</v>
      </c>
    </row>
    <row r="559" spans="1:2" ht="12.75">
      <c r="A559" t="s">
        <v>88</v>
      </c>
      <c r="B559" t="s">
        <v>85</v>
      </c>
    </row>
    <row r="560" ht="12.75">
      <c r="A560" t="s">
        <v>41</v>
      </c>
    </row>
    <row r="561" ht="12.75">
      <c r="A561" t="s">
        <v>85</v>
      </c>
    </row>
    <row r="562" ht="12.75">
      <c r="A562" t="s">
        <v>43</v>
      </c>
    </row>
    <row r="563" ht="12.75">
      <c r="A563" t="s">
        <v>61</v>
      </c>
    </row>
    <row r="565" spans="1:3" ht="12.75">
      <c r="A565" s="14" t="s">
        <v>1111</v>
      </c>
      <c r="B565" s="14" t="s">
        <v>1115</v>
      </c>
      <c r="C565" s="14" t="s">
        <v>1114</v>
      </c>
    </row>
    <row r="566" spans="1:3" ht="12.75">
      <c r="A566" t="s">
        <v>407</v>
      </c>
      <c r="B566" t="s">
        <v>407</v>
      </c>
      <c r="C566" t="s">
        <v>407</v>
      </c>
    </row>
    <row r="567" spans="1:3" ht="12.75">
      <c r="A567" t="s">
        <v>1112</v>
      </c>
      <c r="B567" t="s">
        <v>32</v>
      </c>
      <c r="C567" t="s">
        <v>32</v>
      </c>
    </row>
    <row r="568" spans="1:3" ht="12.75">
      <c r="A568" t="s">
        <v>552</v>
      </c>
      <c r="B568" t="s">
        <v>415</v>
      </c>
      <c r="C568" t="s">
        <v>415</v>
      </c>
    </row>
    <row r="569" spans="1:3" ht="12.75">
      <c r="A569" t="s">
        <v>94</v>
      </c>
      <c r="B569" t="s">
        <v>552</v>
      </c>
      <c r="C569" t="s">
        <v>552</v>
      </c>
    </row>
    <row r="570" spans="1:3" ht="12.75">
      <c r="A570" t="s">
        <v>57</v>
      </c>
      <c r="B570" t="s">
        <v>94</v>
      </c>
      <c r="C570" t="s">
        <v>94</v>
      </c>
    </row>
    <row r="571" spans="1:3" ht="12.75">
      <c r="A571" t="s">
        <v>89</v>
      </c>
      <c r="B571" t="s">
        <v>89</v>
      </c>
      <c r="C571" t="s">
        <v>89</v>
      </c>
    </row>
    <row r="572" spans="1:3" ht="12.75">
      <c r="A572" t="s">
        <v>53</v>
      </c>
      <c r="B572" t="s">
        <v>53</v>
      </c>
      <c r="C572" t="s">
        <v>88</v>
      </c>
    </row>
    <row r="573" spans="1:3" ht="12.75">
      <c r="A573" t="s">
        <v>411</v>
      </c>
      <c r="B573" t="s">
        <v>88</v>
      </c>
      <c r="C573" t="s">
        <v>85</v>
      </c>
    </row>
    <row r="574" spans="1:3" ht="12.75">
      <c r="A574" t="s">
        <v>1113</v>
      </c>
      <c r="B574" t="s">
        <v>85</v>
      </c>
      <c r="C574" t="s">
        <v>61</v>
      </c>
    </row>
    <row r="575" spans="1:3" ht="12.75">
      <c r="A575" t="s">
        <v>88</v>
      </c>
      <c r="B575" t="s">
        <v>61</v>
      </c>
      <c r="C575" t="s">
        <v>595</v>
      </c>
    </row>
    <row r="576" spans="1:2" ht="12.75">
      <c r="A576" t="s">
        <v>99</v>
      </c>
      <c r="B576" t="s">
        <v>595</v>
      </c>
    </row>
    <row r="577" ht="12.75">
      <c r="A577" t="s">
        <v>100</v>
      </c>
    </row>
    <row r="578" ht="12.75">
      <c r="A578" t="s">
        <v>85</v>
      </c>
    </row>
    <row r="579" ht="12.75">
      <c r="A579" t="s">
        <v>61</v>
      </c>
    </row>
    <row r="580" ht="12.75">
      <c r="A580" t="s">
        <v>69</v>
      </c>
    </row>
    <row r="581" ht="12.75">
      <c r="A581" t="s">
        <v>595</v>
      </c>
    </row>
    <row r="583" spans="1:2" ht="12.75">
      <c r="A583" s="14" t="s">
        <v>1144</v>
      </c>
      <c r="B583" s="14" t="s">
        <v>1149</v>
      </c>
    </row>
    <row r="584" spans="1:2" ht="12.75">
      <c r="A584" t="s">
        <v>407</v>
      </c>
      <c r="B584" t="s">
        <v>407</v>
      </c>
    </row>
    <row r="585" spans="1:2" ht="12.75">
      <c r="A585" t="s">
        <v>1112</v>
      </c>
      <c r="B585" t="s">
        <v>1112</v>
      </c>
    </row>
    <row r="586" spans="1:2" ht="12.75">
      <c r="A586" t="s">
        <v>409</v>
      </c>
      <c r="B586" t="s">
        <v>409</v>
      </c>
    </row>
    <row r="587" spans="1:2" ht="12.75">
      <c r="A587" t="s">
        <v>34</v>
      </c>
      <c r="B587" t="s">
        <v>34</v>
      </c>
    </row>
    <row r="588" spans="1:2" ht="12.75">
      <c r="A588" t="s">
        <v>94</v>
      </c>
      <c r="B588" t="s">
        <v>94</v>
      </c>
    </row>
    <row r="589" spans="1:2" ht="12.75">
      <c r="A589" t="s">
        <v>57</v>
      </c>
      <c r="B589" t="s">
        <v>89</v>
      </c>
    </row>
    <row r="590" spans="1:2" ht="12.75">
      <c r="A590" t="s">
        <v>74</v>
      </c>
      <c r="B590" t="s">
        <v>74</v>
      </c>
    </row>
    <row r="591" spans="1:2" ht="12.75">
      <c r="A591" t="s">
        <v>1154</v>
      </c>
      <c r="B591" t="s">
        <v>53</v>
      </c>
    </row>
    <row r="592" spans="1:2" ht="12.75">
      <c r="A592" t="s">
        <v>411</v>
      </c>
      <c r="B592" t="s">
        <v>638</v>
      </c>
    </row>
    <row r="593" spans="1:2" ht="12.75">
      <c r="A593" t="s">
        <v>53</v>
      </c>
      <c r="B593" t="s">
        <v>69</v>
      </c>
    </row>
    <row r="594" spans="1:2" ht="12.75">
      <c r="A594" t="s">
        <v>1153</v>
      </c>
      <c r="B594" t="s">
        <v>85</v>
      </c>
    </row>
    <row r="595" spans="1:2" ht="12.75">
      <c r="A595" t="s">
        <v>69</v>
      </c>
      <c r="B595" t="s">
        <v>595</v>
      </c>
    </row>
    <row r="596" spans="1:2" ht="12.75">
      <c r="A596" t="s">
        <v>60</v>
      </c>
      <c r="B596" t="s">
        <v>61</v>
      </c>
    </row>
    <row r="597" ht="12.75">
      <c r="A597" t="s">
        <v>85</v>
      </c>
    </row>
    <row r="598" ht="12.75">
      <c r="A598" t="s">
        <v>61</v>
      </c>
    </row>
    <row r="599" ht="12.75">
      <c r="A599" t="s">
        <v>595</v>
      </c>
    </row>
    <row r="600" ht="12.75">
      <c r="A600" t="s">
        <v>596</v>
      </c>
    </row>
    <row r="602" spans="1:2" ht="12.75">
      <c r="A602" s="14" t="s">
        <v>1161</v>
      </c>
      <c r="B602" s="14" t="s">
        <v>1162</v>
      </c>
    </row>
    <row r="603" spans="1:2" ht="12.75">
      <c r="A603" t="s">
        <v>407</v>
      </c>
      <c r="B603" t="s">
        <v>407</v>
      </c>
    </row>
    <row r="604" spans="1:2" ht="12.75">
      <c r="A604" t="s">
        <v>1112</v>
      </c>
      <c r="B604" t="s">
        <v>1112</v>
      </c>
    </row>
    <row r="605" spans="1:2" ht="12.75">
      <c r="A605" t="s">
        <v>409</v>
      </c>
      <c r="B605" t="s">
        <v>409</v>
      </c>
    </row>
    <row r="606" spans="1:2" ht="12.75">
      <c r="A606" t="s">
        <v>34</v>
      </c>
      <c r="B606" t="s">
        <v>34</v>
      </c>
    </row>
    <row r="607" spans="1:2" ht="12.75">
      <c r="A607" t="s">
        <v>94</v>
      </c>
      <c r="B607" t="s">
        <v>94</v>
      </c>
    </row>
    <row r="608" spans="1:2" ht="12.75">
      <c r="A608" t="s">
        <v>57</v>
      </c>
      <c r="B608" t="s">
        <v>89</v>
      </c>
    </row>
    <row r="609" spans="1:2" ht="12.75">
      <c r="A609" t="s">
        <v>74</v>
      </c>
      <c r="B609" t="s">
        <v>74</v>
      </c>
    </row>
    <row r="610" spans="1:2" ht="12.75">
      <c r="A610" t="s">
        <v>1154</v>
      </c>
      <c r="B610" t="s">
        <v>53</v>
      </c>
    </row>
    <row r="611" spans="1:2" ht="12.75">
      <c r="A611" t="s">
        <v>411</v>
      </c>
      <c r="B611" t="s">
        <v>638</v>
      </c>
    </row>
    <row r="612" spans="1:2" ht="12.75">
      <c r="A612" t="s">
        <v>53</v>
      </c>
      <c r="B612" t="s">
        <v>69</v>
      </c>
    </row>
    <row r="613" spans="1:2" ht="12.75">
      <c r="A613" t="s">
        <v>1153</v>
      </c>
      <c r="B613" t="s">
        <v>85</v>
      </c>
    </row>
    <row r="614" spans="1:2" ht="12.75">
      <c r="A614" t="s">
        <v>69</v>
      </c>
      <c r="B614" t="s">
        <v>595</v>
      </c>
    </row>
    <row r="615" spans="1:2" ht="12.75">
      <c r="A615" t="s">
        <v>60</v>
      </c>
      <c r="B615" t="s">
        <v>61</v>
      </c>
    </row>
    <row r="616" spans="1:2" ht="12.75">
      <c r="A616" t="s">
        <v>85</v>
      </c>
      <c r="B616" t="s">
        <v>41</v>
      </c>
    </row>
    <row r="617" ht="12.75">
      <c r="A617" t="s">
        <v>61</v>
      </c>
    </row>
    <row r="618" ht="12.75">
      <c r="A618" t="s">
        <v>595</v>
      </c>
    </row>
    <row r="619" ht="12.75">
      <c r="A619" t="s">
        <v>596</v>
      </c>
    </row>
    <row r="620" ht="12.75">
      <c r="A620" t="s">
        <v>41</v>
      </c>
    </row>
    <row r="622" spans="1:2" ht="12.75">
      <c r="A622" s="14" t="s">
        <v>1174</v>
      </c>
      <c r="B622" s="14" t="s">
        <v>1178</v>
      </c>
    </row>
    <row r="623" spans="1:2" ht="12.75">
      <c r="A623" t="s">
        <v>407</v>
      </c>
      <c r="B623" t="s">
        <v>407</v>
      </c>
    </row>
    <row r="624" spans="1:2" ht="12.75">
      <c r="A624" t="s">
        <v>1112</v>
      </c>
      <c r="B624" t="s">
        <v>1112</v>
      </c>
    </row>
    <row r="625" spans="1:2" ht="12.75">
      <c r="A625" t="s">
        <v>409</v>
      </c>
      <c r="B625" t="s">
        <v>409</v>
      </c>
    </row>
    <row r="626" spans="1:2" ht="12.75">
      <c r="A626" t="s">
        <v>34</v>
      </c>
      <c r="B626" t="s">
        <v>34</v>
      </c>
    </row>
    <row r="627" spans="1:2" ht="12.75">
      <c r="A627" t="s">
        <v>94</v>
      </c>
      <c r="B627" t="s">
        <v>94</v>
      </c>
    </row>
    <row r="628" spans="1:2" ht="12.75">
      <c r="A628" t="s">
        <v>57</v>
      </c>
      <c r="B628" t="s">
        <v>89</v>
      </c>
    </row>
    <row r="629" spans="1:2" ht="12.75">
      <c r="A629" t="s">
        <v>74</v>
      </c>
      <c r="B629" t="s">
        <v>74</v>
      </c>
    </row>
    <row r="630" spans="1:2" ht="12.75">
      <c r="A630" t="s">
        <v>1154</v>
      </c>
      <c r="B630" t="s">
        <v>53</v>
      </c>
    </row>
    <row r="631" spans="1:2" ht="12.75">
      <c r="A631" t="s">
        <v>411</v>
      </c>
      <c r="B631" t="s">
        <v>638</v>
      </c>
    </row>
    <row r="632" spans="1:2" ht="12.75">
      <c r="A632" t="s">
        <v>53</v>
      </c>
      <c r="B632" t="s">
        <v>69</v>
      </c>
    </row>
    <row r="633" spans="1:2" ht="12.75">
      <c r="A633" t="s">
        <v>1153</v>
      </c>
      <c r="B633" t="s">
        <v>85</v>
      </c>
    </row>
    <row r="634" spans="1:2" ht="12.75">
      <c r="A634" t="s">
        <v>69</v>
      </c>
      <c r="B634" t="s">
        <v>595</v>
      </c>
    </row>
    <row r="635" spans="1:2" ht="12.75">
      <c r="A635" t="s">
        <v>60</v>
      </c>
      <c r="B635" t="s">
        <v>61</v>
      </c>
    </row>
    <row r="636" spans="1:2" ht="12.75">
      <c r="A636" t="s">
        <v>85</v>
      </c>
      <c r="B636" t="s">
        <v>1184</v>
      </c>
    </row>
    <row r="637" ht="12.75">
      <c r="A637" t="s">
        <v>61</v>
      </c>
    </row>
    <row r="638" ht="12.75">
      <c r="A638" t="s">
        <v>595</v>
      </c>
    </row>
    <row r="639" ht="12.75">
      <c r="A639" t="s">
        <v>596</v>
      </c>
    </row>
    <row r="640" ht="12.75">
      <c r="A640" t="s">
        <v>1184</v>
      </c>
    </row>
    <row r="642" spans="1:5" ht="12.75">
      <c r="A642" s="14" t="s">
        <v>1197</v>
      </c>
      <c r="B642" s="14" t="s">
        <v>1199</v>
      </c>
      <c r="C642" s="14" t="s">
        <v>1201</v>
      </c>
      <c r="D642" s="14" t="s">
        <v>1203</v>
      </c>
      <c r="E642" s="14" t="s">
        <v>1210</v>
      </c>
    </row>
    <row r="643" spans="1:5" ht="12.75">
      <c r="A643" t="s">
        <v>407</v>
      </c>
      <c r="B643" t="s">
        <v>407</v>
      </c>
      <c r="C643" t="s">
        <v>407</v>
      </c>
      <c r="D643" t="s">
        <v>407</v>
      </c>
      <c r="E643" t="s">
        <v>407</v>
      </c>
    </row>
    <row r="644" spans="1:5" ht="12.75">
      <c r="A644" t="s">
        <v>1112</v>
      </c>
      <c r="B644" t="s">
        <v>1112</v>
      </c>
      <c r="C644" t="s">
        <v>1112</v>
      </c>
      <c r="D644" t="s">
        <v>1112</v>
      </c>
      <c r="E644" t="s">
        <v>1112</v>
      </c>
    </row>
    <row r="645" spans="1:5" ht="12.75">
      <c r="A645" t="s">
        <v>409</v>
      </c>
      <c r="B645" t="s">
        <v>409</v>
      </c>
      <c r="C645" t="s">
        <v>409</v>
      </c>
      <c r="D645" t="s">
        <v>415</v>
      </c>
      <c r="E645" t="s">
        <v>409</v>
      </c>
    </row>
    <row r="646" spans="1:5" ht="12.75">
      <c r="A646" t="s">
        <v>94</v>
      </c>
      <c r="B646" t="s">
        <v>94</v>
      </c>
      <c r="C646" t="s">
        <v>34</v>
      </c>
      <c r="D646" t="s">
        <v>94</v>
      </c>
      <c r="E646" t="s">
        <v>34</v>
      </c>
    </row>
    <row r="647" spans="1:5" ht="12.75">
      <c r="A647" t="s">
        <v>82</v>
      </c>
      <c r="B647" t="s">
        <v>82</v>
      </c>
      <c r="C647" t="s">
        <v>94</v>
      </c>
      <c r="D647" t="s">
        <v>411</v>
      </c>
      <c r="E647" t="s">
        <v>94</v>
      </c>
    </row>
    <row r="648" spans="1:5" ht="12.75">
      <c r="A648" t="s">
        <v>79</v>
      </c>
      <c r="B648" t="s">
        <v>79</v>
      </c>
      <c r="C648" t="s">
        <v>44</v>
      </c>
      <c r="D648" t="s">
        <v>1209</v>
      </c>
      <c r="E648" t="s">
        <v>44</v>
      </c>
    </row>
    <row r="649" spans="1:5" ht="12.75">
      <c r="A649" t="s">
        <v>80</v>
      </c>
      <c r="B649" t="s">
        <v>80</v>
      </c>
      <c r="C649" t="s">
        <v>69</v>
      </c>
      <c r="D649" t="s">
        <v>69</v>
      </c>
      <c r="E649" t="s">
        <v>69</v>
      </c>
    </row>
    <row r="650" spans="1:5" ht="12.75">
      <c r="A650" t="s">
        <v>893</v>
      </c>
      <c r="B650" t="s">
        <v>893</v>
      </c>
      <c r="C650" t="s">
        <v>60</v>
      </c>
      <c r="D650" t="s">
        <v>60</v>
      </c>
      <c r="E650" t="s">
        <v>60</v>
      </c>
    </row>
    <row r="651" spans="1:5" ht="12.75">
      <c r="A651" t="s">
        <v>1205</v>
      </c>
      <c r="B651" t="s">
        <v>1205</v>
      </c>
      <c r="C651" t="s">
        <v>85</v>
      </c>
      <c r="D651" t="s">
        <v>85</v>
      </c>
      <c r="E651" t="s">
        <v>85</v>
      </c>
    </row>
    <row r="652" spans="1:5" ht="12.75">
      <c r="A652" t="s">
        <v>69</v>
      </c>
      <c r="B652" t="s">
        <v>69</v>
      </c>
      <c r="C652" t="s">
        <v>61</v>
      </c>
      <c r="D652" t="s">
        <v>61</v>
      </c>
      <c r="E652" t="s">
        <v>61</v>
      </c>
    </row>
    <row r="653" spans="1:5" ht="12.75">
      <c r="A653" t="s">
        <v>60</v>
      </c>
      <c r="B653" t="s">
        <v>60</v>
      </c>
      <c r="C653" t="s">
        <v>595</v>
      </c>
      <c r="D653" t="s">
        <v>595</v>
      </c>
      <c r="E653" t="s">
        <v>595</v>
      </c>
    </row>
    <row r="654" spans="1:5" ht="12.75">
      <c r="A654" t="s">
        <v>85</v>
      </c>
      <c r="B654" t="s">
        <v>85</v>
      </c>
      <c r="C654" t="s">
        <v>596</v>
      </c>
      <c r="D654" t="s">
        <v>596</v>
      </c>
      <c r="E654" t="s">
        <v>596</v>
      </c>
    </row>
    <row r="655" spans="1:5" ht="12.75">
      <c r="A655" t="s">
        <v>61</v>
      </c>
      <c r="B655" t="s">
        <v>61</v>
      </c>
      <c r="E655" t="s">
        <v>1211</v>
      </c>
    </row>
    <row r="656" spans="1:5" ht="12.75">
      <c r="A656" t="s">
        <v>595</v>
      </c>
      <c r="B656" t="s">
        <v>595</v>
      </c>
      <c r="E656" t="s">
        <v>57</v>
      </c>
    </row>
    <row r="657" spans="1:2" ht="12.75">
      <c r="A657" t="s">
        <v>596</v>
      </c>
      <c r="B657" t="s">
        <v>596</v>
      </c>
    </row>
    <row r="658" spans="1:2" ht="12.75">
      <c r="A658" t="s">
        <v>1206</v>
      </c>
      <c r="B658" t="s">
        <v>1206</v>
      </c>
    </row>
    <row r="659" spans="1:2" ht="12.75">
      <c r="A659" t="s">
        <v>1207</v>
      </c>
      <c r="B659" t="s">
        <v>1208</v>
      </c>
    </row>
    <row r="661" spans="1:3" ht="12.75">
      <c r="A661" s="14" t="s">
        <v>1227</v>
      </c>
      <c r="B661" s="14" t="s">
        <v>1222</v>
      </c>
      <c r="C661" s="14" t="s">
        <v>1224</v>
      </c>
    </row>
    <row r="662" spans="1:3" ht="12.75">
      <c r="A662" t="s">
        <v>89</v>
      </c>
      <c r="B662" t="s">
        <v>89</v>
      </c>
      <c r="C662" t="s">
        <v>34</v>
      </c>
    </row>
    <row r="663" spans="1:3" ht="12.75">
      <c r="A663" t="s">
        <v>94</v>
      </c>
      <c r="B663" t="s">
        <v>94</v>
      </c>
      <c r="C663" t="s">
        <v>89</v>
      </c>
    </row>
    <row r="664" spans="1:3" ht="12.75">
      <c r="A664" t="s">
        <v>1209</v>
      </c>
      <c r="B664" t="s">
        <v>1209</v>
      </c>
      <c r="C664" t="s">
        <v>94</v>
      </c>
    </row>
    <row r="665" spans="1:3" ht="12.75">
      <c r="A665" t="s">
        <v>1232</v>
      </c>
      <c r="B665" t="s">
        <v>48</v>
      </c>
      <c r="C665" t="s">
        <v>1235</v>
      </c>
    </row>
    <row r="666" spans="1:3" ht="12.75">
      <c r="A666" t="s">
        <v>48</v>
      </c>
      <c r="B666" t="s">
        <v>49</v>
      </c>
      <c r="C666" t="s">
        <v>1209</v>
      </c>
    </row>
    <row r="667" spans="1:3" ht="12.75">
      <c r="A667" t="s">
        <v>49</v>
      </c>
      <c r="B667" t="s">
        <v>59</v>
      </c>
      <c r="C667" t="s">
        <v>1236</v>
      </c>
    </row>
    <row r="668" spans="1:3" ht="12.75">
      <c r="A668" t="s">
        <v>59</v>
      </c>
      <c r="B668" t="s">
        <v>41</v>
      </c>
      <c r="C668" t="s">
        <v>1237</v>
      </c>
    </row>
    <row r="669" spans="1:3" ht="12.75">
      <c r="A669" t="s">
        <v>41</v>
      </c>
      <c r="B669" t="s">
        <v>44</v>
      </c>
      <c r="C669" t="s">
        <v>428</v>
      </c>
    </row>
    <row r="670" spans="1:2" ht="12.75">
      <c r="A670" t="s">
        <v>44</v>
      </c>
      <c r="B670" t="s">
        <v>69</v>
      </c>
    </row>
    <row r="671" spans="1:2" ht="12.75">
      <c r="A671" t="s">
        <v>69</v>
      </c>
      <c r="B671" t="s">
        <v>60</v>
      </c>
    </row>
    <row r="672" spans="1:2" ht="12.75">
      <c r="A672" t="s">
        <v>60</v>
      </c>
      <c r="B672" t="s">
        <v>85</v>
      </c>
    </row>
    <row r="673" spans="1:2" ht="12.75">
      <c r="A673" t="s">
        <v>85</v>
      </c>
      <c r="B673" t="s">
        <v>61</v>
      </c>
    </row>
    <row r="674" spans="1:2" ht="12.75">
      <c r="A674" t="s">
        <v>61</v>
      </c>
      <c r="B674" t="s">
        <v>595</v>
      </c>
    </row>
    <row r="675" spans="1:2" ht="12.75">
      <c r="A675" t="s">
        <v>595</v>
      </c>
      <c r="B675" t="s">
        <v>596</v>
      </c>
    </row>
    <row r="676" ht="12.75">
      <c r="A676" t="s">
        <v>596</v>
      </c>
    </row>
    <row r="677" ht="12.75">
      <c r="A677" t="s">
        <v>1233</v>
      </c>
    </row>
    <row r="678" ht="12.75">
      <c r="A678" t="s">
        <v>1231</v>
      </c>
    </row>
    <row r="680" ht="12.75">
      <c r="A680" s="14" t="s">
        <v>1337</v>
      </c>
    </row>
    <row r="681" ht="12.75">
      <c r="A681" t="s">
        <v>407</v>
      </c>
    </row>
    <row r="682" ht="12.75">
      <c r="A682" t="s">
        <v>1112</v>
      </c>
    </row>
    <row r="683" ht="12.75">
      <c r="A683" t="s">
        <v>415</v>
      </c>
    </row>
    <row r="684" ht="12.75">
      <c r="A684" t="s">
        <v>34</v>
      </c>
    </row>
    <row r="685" ht="12.75">
      <c r="A685" t="s">
        <v>94</v>
      </c>
    </row>
    <row r="686" ht="12.75">
      <c r="A686" t="s">
        <v>411</v>
      </c>
    </row>
    <row r="687" ht="12.75">
      <c r="A687" t="s">
        <v>89</v>
      </c>
    </row>
    <row r="688" ht="12.75">
      <c r="A688" t="s">
        <v>57</v>
      </c>
    </row>
    <row r="689" ht="12.75">
      <c r="A689" t="s">
        <v>79</v>
      </c>
    </row>
    <row r="690" ht="12.75">
      <c r="A690" t="s">
        <v>59</v>
      </c>
    </row>
    <row r="692" ht="12.75">
      <c r="A692" s="14" t="s">
        <v>1354</v>
      </c>
    </row>
    <row r="693" ht="12.75">
      <c r="A693" t="s">
        <v>407</v>
      </c>
    </row>
    <row r="694" ht="12.75">
      <c r="A694" t="s">
        <v>1112</v>
      </c>
    </row>
    <row r="695" ht="12.75">
      <c r="A695" t="s">
        <v>410</v>
      </c>
    </row>
    <row r="696" ht="12.75">
      <c r="A696" t="s">
        <v>415</v>
      </c>
    </row>
    <row r="697" ht="12.75">
      <c r="A697" t="s">
        <v>409</v>
      </c>
    </row>
    <row r="698" ht="12.75">
      <c r="A698" t="s">
        <v>442</v>
      </c>
    </row>
    <row r="699" ht="12.75">
      <c r="A699" t="s">
        <v>1359</v>
      </c>
    </row>
    <row r="700" ht="12.75">
      <c r="A700" t="s">
        <v>1360</v>
      </c>
    </row>
    <row r="701" ht="12.75">
      <c r="A701" t="s">
        <v>94</v>
      </c>
    </row>
    <row r="702" ht="12.75">
      <c r="A702" t="s">
        <v>411</v>
      </c>
    </row>
    <row r="703" ht="12.75">
      <c r="A703" t="s">
        <v>429</v>
      </c>
    </row>
    <row r="704" ht="12.75">
      <c r="A704" t="s">
        <v>79</v>
      </c>
    </row>
    <row r="705" ht="12.75">
      <c r="A705" t="s">
        <v>80</v>
      </c>
    </row>
    <row r="706" ht="12.75">
      <c r="A706" t="s">
        <v>48</v>
      </c>
    </row>
    <row r="707" ht="12.75">
      <c r="A707" t="s">
        <v>49</v>
      </c>
    </row>
    <row r="708" ht="12.75">
      <c r="A708" t="s">
        <v>44</v>
      </c>
    </row>
    <row r="709" ht="12.75">
      <c r="A709" t="s">
        <v>45</v>
      </c>
    </row>
    <row r="710" ht="12.75">
      <c r="A710" t="s">
        <v>85</v>
      </c>
    </row>
    <row r="711" ht="12.75">
      <c r="A711" t="s">
        <v>43</v>
      </c>
    </row>
    <row r="712" ht="12.75">
      <c r="A712" t="s">
        <v>61</v>
      </c>
    </row>
    <row r="713" ht="12.75">
      <c r="A713" t="s">
        <v>69</v>
      </c>
    </row>
    <row r="714" ht="12.75">
      <c r="A714" t="s">
        <v>595</v>
      </c>
    </row>
    <row r="715" ht="12.75">
      <c r="A715" t="s">
        <v>60</v>
      </c>
    </row>
    <row r="716" ht="12.75">
      <c r="A716" t="s">
        <v>596</v>
      </c>
    </row>
    <row r="717" ht="12.75">
      <c r="A717" t="s">
        <v>55</v>
      </c>
    </row>
    <row r="718" ht="12.75">
      <c r="A718" t="s">
        <v>1361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E70"/>
  <sheetViews>
    <sheetView zoomScalePageLayoutView="0" workbookViewId="0" topLeftCell="A1">
      <selection activeCell="A31" sqref="A31"/>
    </sheetView>
  </sheetViews>
  <sheetFormatPr defaultColWidth="9.140625" defaultRowHeight="12.75"/>
  <sheetData>
    <row r="1" ht="12.75">
      <c r="A1" t="s">
        <v>401</v>
      </c>
    </row>
    <row r="2" ht="12.75">
      <c r="B2" t="s">
        <v>483</v>
      </c>
    </row>
    <row r="3" ht="12.75">
      <c r="B3" t="s">
        <v>402</v>
      </c>
    </row>
    <row r="4" ht="12.75">
      <c r="B4" t="s">
        <v>403</v>
      </c>
    </row>
    <row r="5" ht="12.75">
      <c r="B5" t="s">
        <v>404</v>
      </c>
    </row>
    <row r="6" ht="12.75">
      <c r="B6" t="s">
        <v>405</v>
      </c>
    </row>
    <row r="7" ht="12.75">
      <c r="B7" t="s">
        <v>406</v>
      </c>
    </row>
    <row r="8" ht="12.75">
      <c r="B8" t="s">
        <v>498</v>
      </c>
    </row>
    <row r="10" ht="12.75">
      <c r="A10" t="s">
        <v>1267</v>
      </c>
    </row>
    <row r="13" spans="1:5" ht="12.75">
      <c r="A13" s="14" t="s">
        <v>599</v>
      </c>
      <c r="E13" s="14"/>
    </row>
    <row r="14" ht="12.75">
      <c r="A14" t="s">
        <v>1050</v>
      </c>
    </row>
    <row r="19" ht="12.75">
      <c r="A19" t="s">
        <v>926</v>
      </c>
    </row>
    <row r="20" ht="12.75">
      <c r="A20" t="s">
        <v>598</v>
      </c>
    </row>
    <row r="21" ht="12.75">
      <c r="A21" t="s">
        <v>600</v>
      </c>
    </row>
    <row r="23" ht="12.75">
      <c r="A23">
        <v>5.7</v>
      </c>
    </row>
    <row r="24" ht="12.75">
      <c r="A24" t="s">
        <v>1268</v>
      </c>
    </row>
    <row r="25" ht="12.75">
      <c r="A25" t="s">
        <v>1292</v>
      </c>
    </row>
    <row r="26" ht="12.75">
      <c r="A26" t="s">
        <v>1309</v>
      </c>
    </row>
    <row r="27" ht="12.75">
      <c r="A27" t="s">
        <v>1310</v>
      </c>
    </row>
    <row r="28" ht="12.75">
      <c r="A28" t="s">
        <v>1311</v>
      </c>
    </row>
    <row r="29" ht="12.75">
      <c r="A29" t="s">
        <v>1314</v>
      </c>
    </row>
    <row r="30" ht="12.75">
      <c r="A30" t="s">
        <v>1340</v>
      </c>
    </row>
    <row r="33" ht="12.75">
      <c r="A33">
        <v>5.6</v>
      </c>
    </row>
    <row r="34" ht="12.75">
      <c r="A34" t="s">
        <v>1254</v>
      </c>
    </row>
    <row r="35" ht="12.75">
      <c r="A35" t="s">
        <v>1255</v>
      </c>
    </row>
    <row r="37" ht="12.75">
      <c r="A37">
        <v>5.4</v>
      </c>
    </row>
    <row r="38" ht="12.75">
      <c r="A38" t="s">
        <v>1124</v>
      </c>
    </row>
    <row r="43" ht="12.75">
      <c r="A43">
        <v>5.2</v>
      </c>
    </row>
    <row r="44" ht="12.75">
      <c r="A44" t="s">
        <v>975</v>
      </c>
    </row>
    <row r="45" ht="12.75">
      <c r="A45" t="s">
        <v>976</v>
      </c>
    </row>
    <row r="46" ht="12.75">
      <c r="A46" t="s">
        <v>977</v>
      </c>
    </row>
    <row r="47" ht="12.75">
      <c r="A47" t="s">
        <v>978</v>
      </c>
    </row>
    <row r="48" ht="12.75">
      <c r="A48" t="s">
        <v>983</v>
      </c>
    </row>
    <row r="49" ht="12.75">
      <c r="A49" t="s">
        <v>984</v>
      </c>
    </row>
    <row r="50" ht="12.75">
      <c r="A50" t="s">
        <v>985</v>
      </c>
    </row>
    <row r="51" ht="12.75">
      <c r="A51" t="s">
        <v>991</v>
      </c>
    </row>
    <row r="52" ht="12.75">
      <c r="A52" t="s">
        <v>1013</v>
      </c>
    </row>
    <row r="53" ht="12.75">
      <c r="A53" t="s">
        <v>1014</v>
      </c>
    </row>
    <row r="54" ht="12.75">
      <c r="A54" t="s">
        <v>1015</v>
      </c>
    </row>
    <row r="55" ht="12.75">
      <c r="A55" t="s">
        <v>1016</v>
      </c>
    </row>
    <row r="58" ht="12.75">
      <c r="A58">
        <v>5.1</v>
      </c>
    </row>
    <row r="59" ht="12.75">
      <c r="A59" t="s">
        <v>877</v>
      </c>
    </row>
    <row r="60" ht="12.75">
      <c r="A60" t="s">
        <v>878</v>
      </c>
    </row>
    <row r="61" ht="12.75">
      <c r="A61" t="s">
        <v>906</v>
      </c>
    </row>
    <row r="62" ht="12.75">
      <c r="A62" t="s">
        <v>907</v>
      </c>
    </row>
    <row r="63" ht="12.75">
      <c r="A63" t="s">
        <v>908</v>
      </c>
    </row>
    <row r="64" ht="12.75">
      <c r="A64" t="s">
        <v>909</v>
      </c>
    </row>
    <row r="65" ht="12.75">
      <c r="A65" t="s">
        <v>910</v>
      </c>
    </row>
    <row r="66" ht="12.75">
      <c r="A66" t="s">
        <v>911</v>
      </c>
    </row>
    <row r="67" ht="12.75">
      <c r="A67" t="s">
        <v>925</v>
      </c>
    </row>
    <row r="68" ht="12.75">
      <c r="A68" t="s">
        <v>927</v>
      </c>
    </row>
    <row r="69" ht="12.75">
      <c r="A69" t="s">
        <v>929</v>
      </c>
    </row>
    <row r="70" ht="12.75">
      <c r="A70" t="s">
        <v>930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U310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9" width="4.7109375" style="2" customWidth="1"/>
    <col min="10" max="15" width="9.140625" style="2" customWidth="1"/>
  </cols>
  <sheetData>
    <row r="1" spans="1:15" ht="19.5" customHeight="1">
      <c r="A1" s="271" t="s">
        <v>21</v>
      </c>
      <c r="B1" s="272"/>
      <c r="C1" s="272"/>
      <c r="D1" s="272"/>
      <c r="E1" s="272"/>
      <c r="F1" s="328"/>
      <c r="G1" s="328"/>
      <c r="H1" s="328"/>
      <c r="I1" s="328"/>
      <c r="J1" s="329"/>
      <c r="K1" s="273" t="s">
        <v>22</v>
      </c>
      <c r="L1" s="274"/>
      <c r="M1" s="280"/>
      <c r="N1" s="281"/>
      <c r="O1" s="282"/>
    </row>
    <row r="2" spans="1:15" ht="19.5" customHeight="1">
      <c r="A2" s="325" t="s">
        <v>18</v>
      </c>
      <c r="B2" s="326"/>
      <c r="C2" s="326"/>
      <c r="D2" s="326"/>
      <c r="E2" s="326"/>
      <c r="F2" s="327"/>
      <c r="G2" s="275" t="s">
        <v>788</v>
      </c>
      <c r="H2" s="276"/>
      <c r="I2" s="277"/>
      <c r="J2" s="94">
        <f>'Campaign Record'!N2</f>
        <v>0</v>
      </c>
      <c r="K2" s="283" t="s">
        <v>810</v>
      </c>
      <c r="L2" s="284"/>
      <c r="M2" s="284"/>
      <c r="N2" s="284"/>
      <c r="O2" s="285"/>
    </row>
    <row r="3" spans="1:15" ht="19.5" customHeight="1">
      <c r="A3" s="319" t="s">
        <v>23</v>
      </c>
      <c r="B3" s="320"/>
      <c r="C3" s="320"/>
      <c r="D3" s="321"/>
      <c r="E3" s="311">
        <f>'Campaign Record'!C2</f>
        <v>500</v>
      </c>
      <c r="F3" s="312"/>
      <c r="G3" s="275" t="s">
        <v>20</v>
      </c>
      <c r="H3" s="276"/>
      <c r="I3" s="277"/>
      <c r="J3" s="60">
        <f>SUM(I19+I30+I41+I54+I65+I76+I87+(Henchmen!I11*Henchmen!C5)+(Henchmen!I20*Henchmen!C14)+(Henchmen!I29*Henchmen!C23)+(Henchmen!I38*Henchmen!C32)+(Henchmen!I47*Henchmen!C41)+'Additional Members'!I12+'Additional Members'!I23+'Additional Members'!I34+'Additional Members'!I57+'Additional Members'!I68+'Additional Members'!I95+'Additional Members'!I104+'Additional Members'!I113+'Additional Members'!I129)</f>
        <v>0</v>
      </c>
      <c r="K3" s="265">
        <f>SUBSTITUTE(IF(ISNA(VLOOKUP(M1,Warbands,5,FALSE)),"",VLOOKUP(M1,Warbands,5,FALSE)),0,"")</f>
      </c>
      <c r="L3" s="266"/>
      <c r="M3" s="266"/>
      <c r="N3" s="266"/>
      <c r="O3" s="267"/>
    </row>
    <row r="4" spans="1:15" ht="19.5" customHeight="1">
      <c r="A4" s="322"/>
      <c r="B4" s="323"/>
      <c r="C4" s="323"/>
      <c r="D4" s="324"/>
      <c r="E4" s="313"/>
      <c r="F4" s="314"/>
      <c r="G4" s="275" t="s">
        <v>476</v>
      </c>
      <c r="H4" s="276"/>
      <c r="I4" s="277"/>
      <c r="J4" s="60">
        <f>SUM(Henchmen!C5+Henchmen!C14+Henchmen!C23+Henchmen!C32+Henchmen!C41)+IF(C12&lt;&gt;"",1,0)+IF(C23&lt;&gt;"",1,0)+IF(C34&lt;&gt;"",1,0)+IF(C47&lt;&gt;"",1,0)+IF(C58&lt;&gt;"",1,0)+IF(C69&lt;&gt;"",1,0)+IF('Additional Members'!C5&lt;&gt;"",1,0)+IF('Additional Members'!C16&lt;&gt;"",1,0)+IF('Additional Members'!C27&lt;&gt;"",1,0)+IF('Additional Members'!C50&lt;&gt;"",1,0)+IF('Additional Members'!C61&lt;&gt;"",1,0)+IF('Additional Members'!C88&lt;&gt;"",1,0)+IF('Additional Members'!C97&lt;&gt;"",1,0)+IF('Additional Members'!C106&lt;&gt;"",1,0)+IF('Additional Members'!C122&lt;&gt;"",1,0)</f>
        <v>0</v>
      </c>
      <c r="K4" s="268"/>
      <c r="L4" s="269"/>
      <c r="M4" s="269"/>
      <c r="N4" s="269"/>
      <c r="O4" s="270"/>
    </row>
    <row r="5" spans="1:15" ht="19.5" customHeight="1">
      <c r="A5" s="232" t="s">
        <v>928</v>
      </c>
      <c r="B5" s="233"/>
      <c r="C5" s="233"/>
      <c r="D5" s="234"/>
      <c r="E5" s="235">
        <f>SUM(F19+F30+F41+F54+F65+F76+Henchmen!F11+Henchmen!F20+Henchmen!F29+Henchmen!F38+Henchmen!F47+'Additional Members'!F12+'Additional Members'!F23+'Additional Members'!F34+'Additional Members'!F57+'Additional Members'!F68)</f>
        <v>0</v>
      </c>
      <c r="F5" s="236"/>
      <c r="G5" s="275" t="s">
        <v>475</v>
      </c>
      <c r="H5" s="238"/>
      <c r="I5" s="236"/>
      <c r="J5" s="91">
        <f>SUM(COUNTIF(J12:L19,"*Large*"),COUNTIF(J23:L30,"*Large*"),COUNTIF(J34:L41,"*Large*"),COUNTIF(J47:L54,"*Large*"),COUNTIF(J58:L65,"*Large*"),COUNTIF(J69:L76,"*Large*"),COUNTIF(Henchmen!J5:L10,"*Large*"),COUNTIF(Henchmen!J14:L19,"*Large*"),COUNTIF(Henchmen!J23:L28,"*Large*"),COUNTIF(Henchmen!J32:L37,"*Large*"),COUNTIF(Henchmen!J41:L46,"*Large*"),COUNTIF('Additional Members'!J5:L12,"*Large*"),COUNTIF('Additional Members'!J16:L23,"*Large*"),COUNTIF('Additional Members'!J27:L34,"*Large*"),COUNTIF('Additional Members'!J50:L57,"*Large*"),COUNTIF('Additional Members'!J61:L68,"*Large*"),)</f>
        <v>0</v>
      </c>
      <c r="K5" s="275" t="s">
        <v>922</v>
      </c>
      <c r="L5" s="236"/>
      <c r="M5" s="60">
        <f>J4-(G16="out of Play")-(G27="out of Play")-(G38="out of Play")-(G51="out of Play")-(G62="out of Play")-(G73="out of Play")-('Additional Members'!G9="out of Play")-('Additional Members'!G20="out of Play")-('Additional Members'!G31="out of Play")-('Additional Members'!G54="out of Play")-('Additional Members'!G65="out of Play")-('Additional Members'!K94="Out of Play")-('Additional Members'!K103="Out of Play")-('Additional Members'!K112="Out of Play")-('Additional Members'!C128="Out of Play")-('Additional Members'!C137="Out of Play")</f>
        <v>0</v>
      </c>
      <c r="N5" s="65" t="s">
        <v>685</v>
      </c>
      <c r="O5" s="95" t="str">
        <f>IF(J4&gt;16,"5",IF(J4&gt;12,"4",IF(J4&gt;8,"3",IF(J4&gt;4,"2","1"))))</f>
        <v>1</v>
      </c>
    </row>
    <row r="6" spans="1:15" ht="19.5" customHeight="1">
      <c r="A6" s="237" t="s">
        <v>789</v>
      </c>
      <c r="B6" s="238"/>
      <c r="C6" s="238"/>
      <c r="D6" s="236"/>
      <c r="E6" s="235">
        <f>'Campaign Record'!C3</f>
        <v>0</v>
      </c>
      <c r="F6" s="236"/>
      <c r="G6" s="275" t="s">
        <v>19</v>
      </c>
      <c r="H6" s="238"/>
      <c r="I6" s="236"/>
      <c r="J6" s="60">
        <f>SUM(J3+((J4-J5)*5)+(J5*20)+IF('Additional Members'!I89&gt;0,'Additional Members'!I89-5+'Additional Members'!I95,0)+IF('Additional Members'!I98&gt;0,'Additional Members'!I98-5+'Additional Members'!I104,0)+IF('Additional Members'!I107&gt;0,'Additional Members'!I107-5+'Additional Members'!I113,0)+IF('Additional Members'!I123&gt;0,'Additional Members'!I123-5,0))</f>
        <v>0</v>
      </c>
      <c r="K6" s="63" t="s">
        <v>538</v>
      </c>
      <c r="L6" s="54">
        <v>5.7</v>
      </c>
      <c r="M6" s="64" t="s">
        <v>809</v>
      </c>
      <c r="N6" s="286">
        <f ca="1">NOW()</f>
        <v>40124.10160474537</v>
      </c>
      <c r="O6" s="287"/>
    </row>
    <row r="7" spans="1:15" ht="19.5" customHeight="1" thickBot="1">
      <c r="A7" s="315" t="s">
        <v>1011</v>
      </c>
      <c r="B7" s="316"/>
      <c r="C7" s="316"/>
      <c r="D7" s="316"/>
      <c r="E7" s="317">
        <f>J7+L7</f>
        <v>0</v>
      </c>
      <c r="F7" s="318"/>
      <c r="G7" s="316" t="s">
        <v>1006</v>
      </c>
      <c r="H7" s="316"/>
      <c r="I7" s="316"/>
      <c r="J7" s="93">
        <f>'Campaign Record'!G2</f>
        <v>0</v>
      </c>
      <c r="K7" s="92" t="s">
        <v>1007</v>
      </c>
      <c r="L7" s="93">
        <f>'Campaign Record'!G3</f>
        <v>0</v>
      </c>
      <c r="M7" s="263" t="s">
        <v>1269</v>
      </c>
      <c r="N7" s="264"/>
      <c r="O7" s="150">
        <f>SUM(+IF(C12&lt;&gt;"",1,0)+IF(C23&lt;&gt;"",1,0)+IF(C34&lt;&gt;"",1,0)+IF(C47&lt;&gt;"",1,0)+IF(C58&lt;&gt;"",1,0)+IF(C69&lt;&gt;"",1,0)+IF('Additional Members'!C5&lt;&gt;"",1,0)+IF('Additional Members'!C16&lt;&gt;"",1,0)+IF('Additional Members'!C27&lt;&gt;"",1,0))</f>
        <v>0</v>
      </c>
    </row>
    <row r="8" spans="1:15" ht="19.5" customHeight="1">
      <c r="A8"/>
      <c r="B8"/>
      <c r="C8"/>
      <c r="D8"/>
      <c r="E8"/>
      <c r="F8"/>
      <c r="K8"/>
      <c r="L8"/>
      <c r="M8"/>
      <c r="N8"/>
      <c r="O8"/>
    </row>
    <row r="9" spans="1:15" ht="19.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ht="9.7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9.5" customHeight="1">
      <c r="A11" s="271" t="s">
        <v>16</v>
      </c>
      <c r="B11" s="330"/>
      <c r="C11" s="300"/>
      <c r="D11" s="300"/>
      <c r="E11" s="300"/>
      <c r="F11" s="300"/>
      <c r="G11" s="300"/>
      <c r="H11" s="300"/>
      <c r="I11" s="300"/>
      <c r="J11" s="68" t="s">
        <v>682</v>
      </c>
      <c r="K11" s="261">
        <f>IF(ISNA(VLOOKUP($C12,Stats,15,FALSE)),"",VLOOKUP($C12,Stats,15,FALSE))</f>
      </c>
      <c r="L11" s="262"/>
      <c r="M11" s="278" t="s">
        <v>17</v>
      </c>
      <c r="N11" s="279"/>
      <c r="O11" s="66" t="s">
        <v>30</v>
      </c>
    </row>
    <row r="12" spans="1:15" ht="19.5" customHeight="1">
      <c r="A12" s="240" t="s">
        <v>24</v>
      </c>
      <c r="B12" s="241"/>
      <c r="C12" s="309">
        <f ca="1">IF(M1&lt;&gt;"",INDIRECT(VLOOKUP(M1,Warbands,2,FALSE)),"")</f>
      </c>
      <c r="D12" s="309"/>
      <c r="E12" s="309"/>
      <c r="F12" s="309"/>
      <c r="G12" s="309"/>
      <c r="H12" s="309"/>
      <c r="I12" s="310"/>
      <c r="J12" s="288">
        <f>IF(ISNA(VLOOKUP($C12,Stats,13,FALSE)),"",VLOOKUP($C12,Stats,13,FALSE))</f>
      </c>
      <c r="K12" s="289"/>
      <c r="L12" s="290"/>
      <c r="M12" s="230"/>
      <c r="N12" s="231"/>
      <c r="O12" s="13">
        <f>IF(ISNA(VLOOKUP(M12,MasterItems,2,FALSE)),0,VLOOKUP(M12,MasterItems,2,FALSE))</f>
        <v>0</v>
      </c>
    </row>
    <row r="13" spans="1:21" s="3" customFormat="1" ht="19.5" customHeight="1">
      <c r="A13" s="69" t="s">
        <v>7</v>
      </c>
      <c r="B13" s="70" t="s">
        <v>8</v>
      </c>
      <c r="C13" s="70" t="s">
        <v>9</v>
      </c>
      <c r="D13" s="70" t="s">
        <v>10</v>
      </c>
      <c r="E13" s="70" t="s">
        <v>11</v>
      </c>
      <c r="F13" s="70" t="s">
        <v>12</v>
      </c>
      <c r="G13" s="70" t="s">
        <v>13</v>
      </c>
      <c r="H13" s="70" t="s">
        <v>14</v>
      </c>
      <c r="I13" s="62" t="s">
        <v>15</v>
      </c>
      <c r="J13" s="244"/>
      <c r="K13" s="244"/>
      <c r="L13" s="244"/>
      <c r="M13" s="230"/>
      <c r="N13" s="231"/>
      <c r="O13" s="13">
        <f aca="true" t="shared" si="0" ref="O13:O19">IF(ISNA(VLOOKUP(M13,MasterItems,2,FALSE)),0,VLOOKUP(M13,MasterItems,2,FALSE))</f>
        <v>0</v>
      </c>
      <c r="P13"/>
      <c r="Q13"/>
      <c r="R13"/>
      <c r="S13"/>
      <c r="T13"/>
      <c r="U13"/>
    </row>
    <row r="14" spans="1:15" ht="19.5" customHeight="1">
      <c r="A14" s="15">
        <f>IF(ISNA(VLOOKUP($C12,Stats,4,FALSE)),"",VLOOKUP($C12,Stats,4,FALSE))</f>
      </c>
      <c r="B14" s="15">
        <f>IF(ISNA(VLOOKUP($C12,Stats,5,FALSE)),"",VLOOKUP($C12,Stats,5,FALSE))</f>
      </c>
      <c r="C14" s="15">
        <f>IF(ISNA(VLOOKUP($C12,Stats,6,FALSE)),"",VLOOKUP($C12,Stats,6,FALSE))</f>
      </c>
      <c r="D14" s="15">
        <f>IF(ISNA(VLOOKUP($C12,Stats,7,FALSE)),"",VLOOKUP($C12,Stats,7,FALSE))</f>
      </c>
      <c r="E14" s="15">
        <f>IF(ISNA(VLOOKUP($C12,Stats,8,FALSE)),"",VLOOKUP($C12,Stats,8,FALSE))</f>
      </c>
      <c r="F14" s="15">
        <f>IF(ISNA(VLOOKUP($C12,Stats,9,FALSE)),"",VLOOKUP($C12,Stats,9,FALSE))</f>
      </c>
      <c r="G14" s="15">
        <f>IF(ISNA(VLOOKUP($C12,Stats,10,FALSE)),"",VLOOKUP($C12,Stats,10,FALSE))</f>
      </c>
      <c r="H14" s="15">
        <f>IF(ISNA(VLOOKUP($C12,Stats,11,FALSE)),"",VLOOKUP($C12,Stats,11,FALSE))</f>
      </c>
      <c r="I14" s="15">
        <f>IF(ISNA(VLOOKUP($C12,Stats,12,FALSE)),"",VLOOKUP($C12,Stats,12,FALSE))</f>
      </c>
      <c r="J14" s="244"/>
      <c r="K14" s="244"/>
      <c r="L14" s="244"/>
      <c r="M14" s="230"/>
      <c r="N14" s="231"/>
      <c r="O14" s="13">
        <f t="shared" si="0"/>
        <v>0</v>
      </c>
    </row>
    <row r="15" spans="1:15" ht="19.5" customHeight="1">
      <c r="A15" s="11"/>
      <c r="B15" s="10"/>
      <c r="C15" s="10"/>
      <c r="D15" s="10"/>
      <c r="E15" s="10"/>
      <c r="F15" s="10"/>
      <c r="G15" s="10"/>
      <c r="H15" s="10"/>
      <c r="I15" s="12"/>
      <c r="J15" s="227"/>
      <c r="K15" s="228"/>
      <c r="L15" s="229"/>
      <c r="M15" s="230"/>
      <c r="N15" s="231"/>
      <c r="O15" s="13">
        <f t="shared" si="0"/>
        <v>0</v>
      </c>
    </row>
    <row r="16" spans="1:15" ht="19.5" customHeight="1" thickBot="1">
      <c r="A16" s="253" t="s">
        <v>31</v>
      </c>
      <c r="B16" s="331"/>
      <c r="C16" s="331"/>
      <c r="D16" s="43" t="str">
        <f>IF(M19&lt;&gt;"",VLOOKUP(M19,ArmorSave,2,FALSE),"-")</f>
        <v>-</v>
      </c>
      <c r="E16" s="259" t="s">
        <v>525</v>
      </c>
      <c r="F16" s="260"/>
      <c r="G16" s="298"/>
      <c r="H16" s="299"/>
      <c r="I16" s="299"/>
      <c r="J16" s="291"/>
      <c r="K16" s="292"/>
      <c r="L16" s="293"/>
      <c r="M16" s="230"/>
      <c r="N16" s="231"/>
      <c r="O16" s="13">
        <f t="shared" si="0"/>
        <v>0</v>
      </c>
    </row>
    <row r="17" spans="1:15" ht="19.5" customHeight="1">
      <c r="A17" s="301"/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50"/>
      <c r="M17" s="230"/>
      <c r="N17" s="231"/>
      <c r="O17" s="13">
        <f t="shared" si="0"/>
        <v>0</v>
      </c>
    </row>
    <row r="18" spans="1:15" ht="19.5" customHeight="1">
      <c r="A18" s="248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50"/>
      <c r="M18" s="230"/>
      <c r="N18" s="231"/>
      <c r="O18" s="13">
        <f t="shared" si="0"/>
        <v>0</v>
      </c>
    </row>
    <row r="19" spans="1:15" ht="19.5" customHeight="1" thickBot="1">
      <c r="A19" s="294" t="s">
        <v>28</v>
      </c>
      <c r="B19" s="295"/>
      <c r="C19" s="46">
        <f>IF(ISNA(VLOOKUP($C12,Stats,3,FALSE)),0,VLOOKUP($C12,Stats,3,FALSE))</f>
        <v>0</v>
      </c>
      <c r="D19" s="259" t="s">
        <v>29</v>
      </c>
      <c r="E19" s="260"/>
      <c r="F19" s="16">
        <f>IF(ISNUMBER(C19),SUM(O12:O19)+C19,0)</f>
        <v>0</v>
      </c>
      <c r="G19" s="253" t="s">
        <v>526</v>
      </c>
      <c r="H19" s="254"/>
      <c r="I19" s="42">
        <f>IF(C12&lt;&gt;"",VLOOKUP($C12,Stats,2,FALSE)+L20+I20+O20+D20,0)</f>
        <v>0</v>
      </c>
      <c r="J19" s="71"/>
      <c r="K19" s="296" t="s">
        <v>683</v>
      </c>
      <c r="L19" s="297"/>
      <c r="M19" s="251"/>
      <c r="N19" s="252"/>
      <c r="O19" s="13">
        <f t="shared" si="0"/>
        <v>0</v>
      </c>
    </row>
    <row r="20" spans="1:15" ht="19.5" customHeight="1" thickBot="1">
      <c r="A20" s="302" t="s">
        <v>535</v>
      </c>
      <c r="B20" s="302"/>
      <c r="C20" s="303"/>
      <c r="D20" s="97"/>
      <c r="E20" s="304" t="s">
        <v>534</v>
      </c>
      <c r="F20" s="305"/>
      <c r="G20" s="305"/>
      <c r="H20" s="306"/>
      <c r="I20" s="8"/>
      <c r="J20" s="307" t="s">
        <v>681</v>
      </c>
      <c r="K20" s="308"/>
      <c r="L20" s="45"/>
      <c r="M20" s="239" t="s">
        <v>533</v>
      </c>
      <c r="N20" s="239"/>
      <c r="O20" s="8"/>
    </row>
    <row r="21" spans="1:15" ht="9.75" customHeight="1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9.5" customHeight="1">
      <c r="A22" s="271" t="s">
        <v>16</v>
      </c>
      <c r="B22" s="330"/>
      <c r="C22" s="300"/>
      <c r="D22" s="300"/>
      <c r="E22" s="300"/>
      <c r="F22" s="300"/>
      <c r="G22" s="300"/>
      <c r="H22" s="300"/>
      <c r="I22" s="300"/>
      <c r="J22" s="68" t="s">
        <v>682</v>
      </c>
      <c r="K22" s="261">
        <f>IF(ISNA(VLOOKUP($C23,Stats,15,FALSE)),"",VLOOKUP($C23,Stats,15,FALSE))</f>
      </c>
      <c r="L22" s="262"/>
      <c r="M22" s="278" t="s">
        <v>17</v>
      </c>
      <c r="N22" s="279"/>
      <c r="O22" s="66" t="s">
        <v>30</v>
      </c>
    </row>
    <row r="23" spans="1:15" ht="19.5" customHeight="1">
      <c r="A23" s="240" t="s">
        <v>24</v>
      </c>
      <c r="B23" s="241"/>
      <c r="C23" s="242"/>
      <c r="D23" s="242"/>
      <c r="E23" s="242"/>
      <c r="F23" s="242"/>
      <c r="G23" s="242"/>
      <c r="H23" s="242"/>
      <c r="I23" s="243"/>
      <c r="J23" s="288">
        <f>SUBSTITUTE(IF(ISNA(VLOOKUP($C23,Stats,13,FALSE)),"",VLOOKUP($C23,Stats,13,FALSE)),0,"")</f>
      </c>
      <c r="K23" s="289"/>
      <c r="L23" s="290"/>
      <c r="M23" s="230"/>
      <c r="N23" s="231"/>
      <c r="O23" s="13">
        <f aca="true" t="shared" si="1" ref="O23:O30">IF(ISNA(VLOOKUP(M23,MasterItems,2,FALSE)),0,VLOOKUP(M23,MasterItems,2,FALSE))</f>
        <v>0</v>
      </c>
    </row>
    <row r="24" spans="1:21" s="3" customFormat="1" ht="19.5" customHeight="1">
      <c r="A24" s="69" t="s">
        <v>7</v>
      </c>
      <c r="B24" s="70" t="s">
        <v>8</v>
      </c>
      <c r="C24" s="70" t="s">
        <v>9</v>
      </c>
      <c r="D24" s="70" t="s">
        <v>10</v>
      </c>
      <c r="E24" s="70" t="s">
        <v>11</v>
      </c>
      <c r="F24" s="70" t="s">
        <v>12</v>
      </c>
      <c r="G24" s="70" t="s">
        <v>13</v>
      </c>
      <c r="H24" s="70" t="s">
        <v>14</v>
      </c>
      <c r="I24" s="62" t="s">
        <v>15</v>
      </c>
      <c r="J24" s="244"/>
      <c r="K24" s="244"/>
      <c r="L24" s="244"/>
      <c r="M24" s="230"/>
      <c r="N24" s="231"/>
      <c r="O24" s="13">
        <f t="shared" si="1"/>
        <v>0</v>
      </c>
      <c r="P24"/>
      <c r="Q24"/>
      <c r="R24"/>
      <c r="S24"/>
      <c r="T24"/>
      <c r="U24"/>
    </row>
    <row r="25" spans="1:15" ht="19.5" customHeight="1">
      <c r="A25" s="15">
        <f>IF(ISNA(VLOOKUP($C23,Stats,4,FALSE)),"",VLOOKUP($C23,Stats,4,FALSE))</f>
      </c>
      <c r="B25" s="15">
        <f>IF(ISNA(VLOOKUP($C23,Stats,5,FALSE)),"",VLOOKUP($C23,Stats,5,FALSE))</f>
      </c>
      <c r="C25" s="15">
        <f>IF(ISNA(VLOOKUP($C23,Stats,6,FALSE)),"",VLOOKUP($C23,Stats,6,FALSE))</f>
      </c>
      <c r="D25" s="15">
        <f>IF(ISNA(VLOOKUP($C23,Stats,7,FALSE)),"",VLOOKUP($C23,Stats,7,FALSE))</f>
      </c>
      <c r="E25" s="15">
        <f>IF(ISNA(VLOOKUP($C23,Stats,8,FALSE)),"",VLOOKUP($C23,Stats,8,FALSE))</f>
      </c>
      <c r="F25" s="15">
        <f>IF(ISNA(VLOOKUP($C23,Stats,9,FALSE)),"",VLOOKUP($C23,Stats,9,FALSE))</f>
      </c>
      <c r="G25" s="15">
        <f>IF(ISNA(VLOOKUP($C23,Stats,10,FALSE)),"",VLOOKUP($C23,Stats,10,FALSE))</f>
      </c>
      <c r="H25" s="15">
        <f>IF(ISNA(VLOOKUP($C23,Stats,11,FALSE)),"",VLOOKUP($C23,Stats,11,FALSE))</f>
      </c>
      <c r="I25" s="15">
        <f>IF(ISNA(VLOOKUP($C23,Stats,12,FALSE)),"",VLOOKUP($C23,Stats,12,FALSE))</f>
      </c>
      <c r="J25" s="244"/>
      <c r="K25" s="244"/>
      <c r="L25" s="244"/>
      <c r="M25" s="230"/>
      <c r="N25" s="231"/>
      <c r="O25" s="13">
        <f t="shared" si="1"/>
        <v>0</v>
      </c>
    </row>
    <row r="26" spans="1:15" ht="19.5" customHeight="1">
      <c r="A26" s="11"/>
      <c r="B26" s="10"/>
      <c r="C26" s="10"/>
      <c r="D26" s="10"/>
      <c r="E26" s="10"/>
      <c r="F26" s="10"/>
      <c r="G26" s="10"/>
      <c r="H26" s="10"/>
      <c r="I26" s="12"/>
      <c r="J26" s="227"/>
      <c r="K26" s="228"/>
      <c r="L26" s="229"/>
      <c r="M26" s="230"/>
      <c r="N26" s="231"/>
      <c r="O26" s="13">
        <f t="shared" si="1"/>
        <v>0</v>
      </c>
    </row>
    <row r="27" spans="1:15" ht="19.5" customHeight="1" thickBot="1">
      <c r="A27" s="257" t="s">
        <v>31</v>
      </c>
      <c r="B27" s="258"/>
      <c r="C27" s="258"/>
      <c r="D27" s="43" t="str">
        <f>IF(M30&lt;&gt;"",VLOOKUP(M30,ArmorSave,2,FALSE),"-")</f>
        <v>-</v>
      </c>
      <c r="E27" s="255" t="s">
        <v>525</v>
      </c>
      <c r="F27" s="256"/>
      <c r="G27" s="333"/>
      <c r="H27" s="334"/>
      <c r="I27" s="335"/>
      <c r="J27" s="227"/>
      <c r="K27" s="228"/>
      <c r="L27" s="229"/>
      <c r="M27" s="230"/>
      <c r="N27" s="231"/>
      <c r="O27" s="13">
        <f t="shared" si="1"/>
        <v>0</v>
      </c>
    </row>
    <row r="28" spans="1:15" ht="19.5" customHeight="1">
      <c r="A28" s="245"/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7"/>
      <c r="M28" s="230"/>
      <c r="N28" s="231"/>
      <c r="O28" s="13">
        <f t="shared" si="1"/>
        <v>0</v>
      </c>
    </row>
    <row r="29" spans="1:15" ht="19.5" customHeight="1">
      <c r="A29" s="248"/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50"/>
      <c r="M29" s="230"/>
      <c r="N29" s="231"/>
      <c r="O29" s="13">
        <f t="shared" si="1"/>
        <v>0</v>
      </c>
    </row>
    <row r="30" spans="1:15" ht="15.75" thickBot="1">
      <c r="A30" s="294" t="s">
        <v>28</v>
      </c>
      <c r="B30" s="295"/>
      <c r="C30" s="46">
        <f>IF(ISNA(VLOOKUP($C23,Stats,3,FALSE)),0,VLOOKUP($C23,Stats,3,FALSE))</f>
        <v>0</v>
      </c>
      <c r="D30" s="259" t="s">
        <v>29</v>
      </c>
      <c r="E30" s="260"/>
      <c r="F30" s="16">
        <f>IF(ISNUMBER(C30),SUM(O23:O30)+C30,0)</f>
        <v>0</v>
      </c>
      <c r="G30" s="253" t="s">
        <v>526</v>
      </c>
      <c r="H30" s="254"/>
      <c r="I30" s="42">
        <f>IF(C23&lt;&gt;"",VLOOKUP($C23,Stats,2,FALSE)+L31+I31+O31,0)</f>
        <v>0</v>
      </c>
      <c r="J30" s="71"/>
      <c r="K30" s="296" t="s">
        <v>683</v>
      </c>
      <c r="L30" s="297"/>
      <c r="M30" s="251"/>
      <c r="N30" s="252"/>
      <c r="O30" s="13">
        <f t="shared" si="1"/>
        <v>0</v>
      </c>
    </row>
    <row r="31" spans="1:15" ht="19.5" customHeight="1" thickBot="1">
      <c r="A31" s="332"/>
      <c r="B31" s="332"/>
      <c r="C31" s="332"/>
      <c r="D31" s="332"/>
      <c r="E31" s="304" t="s">
        <v>534</v>
      </c>
      <c r="F31" s="305"/>
      <c r="G31" s="305"/>
      <c r="H31" s="306"/>
      <c r="I31" s="8"/>
      <c r="J31" s="307" t="s">
        <v>681</v>
      </c>
      <c r="K31" s="308"/>
      <c r="L31" s="45"/>
      <c r="M31" s="239" t="s">
        <v>533</v>
      </c>
      <c r="N31" s="239"/>
      <c r="O31" s="8"/>
    </row>
    <row r="32" spans="1:15" ht="9.75" customHeight="1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9.5" customHeight="1">
      <c r="A33" s="271" t="s">
        <v>16</v>
      </c>
      <c r="B33" s="330"/>
      <c r="C33" s="300"/>
      <c r="D33" s="300"/>
      <c r="E33" s="300"/>
      <c r="F33" s="300"/>
      <c r="G33" s="300"/>
      <c r="H33" s="300"/>
      <c r="I33" s="300"/>
      <c r="J33" s="68" t="s">
        <v>682</v>
      </c>
      <c r="K33" s="261">
        <f>IF(ISNA(VLOOKUP($C34,Stats,15,FALSE)),"",VLOOKUP($C34,Stats,15,FALSE))</f>
      </c>
      <c r="L33" s="262"/>
      <c r="M33" s="278" t="s">
        <v>17</v>
      </c>
      <c r="N33" s="279"/>
      <c r="O33" s="66" t="s">
        <v>30</v>
      </c>
    </row>
    <row r="34" spans="1:15" ht="19.5" customHeight="1">
      <c r="A34" s="240" t="s">
        <v>24</v>
      </c>
      <c r="B34" s="241"/>
      <c r="C34" s="242"/>
      <c r="D34" s="242"/>
      <c r="E34" s="242"/>
      <c r="F34" s="242"/>
      <c r="G34" s="242"/>
      <c r="H34" s="242"/>
      <c r="I34" s="243"/>
      <c r="J34" s="288">
        <f>SUBSTITUTE(IF(ISNA(VLOOKUP($C34,Stats,13,FALSE)),"",VLOOKUP($C34,Stats,13,FALSE)),0,"")</f>
      </c>
      <c r="K34" s="289"/>
      <c r="L34" s="290"/>
      <c r="M34" s="230"/>
      <c r="N34" s="231"/>
      <c r="O34" s="13">
        <f aca="true" t="shared" si="2" ref="O34:O41">IF(ISNA(VLOOKUP(M34,MasterItems,2,FALSE)),0,VLOOKUP(M34,MasterItems,2,FALSE))</f>
        <v>0</v>
      </c>
    </row>
    <row r="35" spans="1:21" s="3" customFormat="1" ht="19.5" customHeight="1">
      <c r="A35" s="69" t="s">
        <v>7</v>
      </c>
      <c r="B35" s="70" t="s">
        <v>8</v>
      </c>
      <c r="C35" s="70" t="s">
        <v>9</v>
      </c>
      <c r="D35" s="70" t="s">
        <v>10</v>
      </c>
      <c r="E35" s="70" t="s">
        <v>11</v>
      </c>
      <c r="F35" s="70" t="s">
        <v>12</v>
      </c>
      <c r="G35" s="70" t="s">
        <v>13</v>
      </c>
      <c r="H35" s="70" t="s">
        <v>14</v>
      </c>
      <c r="I35" s="62" t="s">
        <v>15</v>
      </c>
      <c r="J35" s="244"/>
      <c r="K35" s="244"/>
      <c r="L35" s="244"/>
      <c r="M35" s="230"/>
      <c r="N35" s="231"/>
      <c r="O35" s="13">
        <f t="shared" si="2"/>
        <v>0</v>
      </c>
      <c r="P35"/>
      <c r="Q35"/>
      <c r="R35"/>
      <c r="S35"/>
      <c r="T35"/>
      <c r="U35"/>
    </row>
    <row r="36" spans="1:15" ht="19.5" customHeight="1">
      <c r="A36" s="15">
        <f>IF(ISNA(VLOOKUP($C34,Stats,4,FALSE)),"",VLOOKUP($C34,Stats,4,FALSE))</f>
      </c>
      <c r="B36" s="15">
        <f>IF(ISNA(VLOOKUP($C34,Stats,5,FALSE)),"",VLOOKUP($C34,Stats,5,FALSE))</f>
      </c>
      <c r="C36" s="15">
        <f>IF(ISNA(VLOOKUP($C34,Stats,6,FALSE)),"",VLOOKUP($C34,Stats,6,FALSE))</f>
      </c>
      <c r="D36" s="15">
        <f>IF(ISNA(VLOOKUP($C34,Stats,7,FALSE)),"",VLOOKUP($C34,Stats,7,FALSE))</f>
      </c>
      <c r="E36" s="15">
        <f>IF(ISNA(VLOOKUP($C34,Stats,8,FALSE)),"",VLOOKUP($C34,Stats,8,FALSE))</f>
      </c>
      <c r="F36" s="15">
        <f>IF(ISNA(VLOOKUP($C34,Stats,9,FALSE)),"",VLOOKUP($C34,Stats,9,FALSE))</f>
      </c>
      <c r="G36" s="15">
        <f>IF(ISNA(VLOOKUP($C34,Stats,10,FALSE)),"",VLOOKUP($C34,Stats,10,FALSE))</f>
      </c>
      <c r="H36" s="15">
        <f>IF(ISNA(VLOOKUP($C34,Stats,11,FALSE)),"",VLOOKUP($C34,Stats,11,FALSE))</f>
      </c>
      <c r="I36" s="15">
        <f>IF(ISNA(VLOOKUP($C34,Stats,12,FALSE)),"",VLOOKUP($C34,Stats,12,FALSE))</f>
      </c>
      <c r="J36" s="244"/>
      <c r="K36" s="244"/>
      <c r="L36" s="244"/>
      <c r="M36" s="230"/>
      <c r="N36" s="231"/>
      <c r="O36" s="13">
        <f t="shared" si="2"/>
        <v>0</v>
      </c>
    </row>
    <row r="37" spans="1:15" ht="19.5" customHeight="1">
      <c r="A37" s="11"/>
      <c r="B37" s="10"/>
      <c r="C37" s="10"/>
      <c r="D37" s="10"/>
      <c r="E37" s="10"/>
      <c r="F37" s="10"/>
      <c r="G37" s="10"/>
      <c r="H37" s="10"/>
      <c r="I37" s="12"/>
      <c r="J37" s="227"/>
      <c r="K37" s="228"/>
      <c r="L37" s="229"/>
      <c r="M37" s="230"/>
      <c r="N37" s="231"/>
      <c r="O37" s="13">
        <f t="shared" si="2"/>
        <v>0</v>
      </c>
    </row>
    <row r="38" spans="1:15" ht="19.5" customHeight="1" thickBot="1">
      <c r="A38" s="257" t="s">
        <v>31</v>
      </c>
      <c r="B38" s="258"/>
      <c r="C38" s="258"/>
      <c r="D38" s="43" t="str">
        <f>IF(M41&lt;&gt;"",VLOOKUP(M41,ArmorSave,2,FALSE),"-")</f>
        <v>-</v>
      </c>
      <c r="E38" s="255" t="s">
        <v>525</v>
      </c>
      <c r="F38" s="256"/>
      <c r="G38" s="333"/>
      <c r="H38" s="334"/>
      <c r="I38" s="335"/>
      <c r="J38" s="227"/>
      <c r="K38" s="228"/>
      <c r="L38" s="229"/>
      <c r="M38" s="230"/>
      <c r="N38" s="231"/>
      <c r="O38" s="13">
        <f t="shared" si="2"/>
        <v>0</v>
      </c>
    </row>
    <row r="39" spans="1:15" ht="19.5" customHeight="1">
      <c r="A39" s="245"/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7"/>
      <c r="M39" s="230"/>
      <c r="N39" s="231"/>
      <c r="O39" s="13">
        <f t="shared" si="2"/>
        <v>0</v>
      </c>
    </row>
    <row r="40" spans="1:15" ht="19.5" customHeight="1">
      <c r="A40" s="248"/>
      <c r="B40" s="249"/>
      <c r="C40" s="249"/>
      <c r="D40" s="249"/>
      <c r="E40" s="249"/>
      <c r="F40" s="249"/>
      <c r="G40" s="249"/>
      <c r="H40" s="249"/>
      <c r="I40" s="249"/>
      <c r="J40" s="249"/>
      <c r="K40" s="249"/>
      <c r="L40" s="250"/>
      <c r="M40" s="230"/>
      <c r="N40" s="231"/>
      <c r="O40" s="13">
        <f t="shared" si="2"/>
        <v>0</v>
      </c>
    </row>
    <row r="41" spans="1:15" ht="19.5" customHeight="1" thickBot="1">
      <c r="A41" s="294" t="s">
        <v>28</v>
      </c>
      <c r="B41" s="295"/>
      <c r="C41" s="46">
        <f>IF(ISNA(VLOOKUP($C34,Stats,3,FALSE)),0,VLOOKUP($C34,Stats,3,FALSE))</f>
        <v>0</v>
      </c>
      <c r="D41" s="259" t="s">
        <v>29</v>
      </c>
      <c r="E41" s="260"/>
      <c r="F41" s="16">
        <f>IF(ISNUMBER(C41),SUM(O34:O41)+C41,0)</f>
        <v>0</v>
      </c>
      <c r="G41" s="253" t="s">
        <v>526</v>
      </c>
      <c r="H41" s="254"/>
      <c r="I41" s="42">
        <f>IF(C34&lt;&gt;"",VLOOKUP($C34,Stats,2,FALSE)+L42+I42+O42,0)</f>
        <v>0</v>
      </c>
      <c r="J41" s="71"/>
      <c r="K41" s="296" t="s">
        <v>683</v>
      </c>
      <c r="L41" s="297"/>
      <c r="M41" s="251"/>
      <c r="N41" s="252"/>
      <c r="O41" s="13">
        <f t="shared" si="2"/>
        <v>0</v>
      </c>
    </row>
    <row r="42" spans="1:15" ht="19.5" customHeight="1" thickBot="1">
      <c r="A42" s="332"/>
      <c r="B42" s="332"/>
      <c r="C42" s="332"/>
      <c r="D42" s="332"/>
      <c r="E42" s="304" t="s">
        <v>534</v>
      </c>
      <c r="F42" s="305"/>
      <c r="G42" s="305"/>
      <c r="H42" s="306"/>
      <c r="I42" s="8"/>
      <c r="J42" s="307" t="s">
        <v>681</v>
      </c>
      <c r="K42" s="308"/>
      <c r="L42" s="45"/>
      <c r="M42" s="239" t="s">
        <v>533</v>
      </c>
      <c r="N42" s="239"/>
      <c r="O42" s="8"/>
    </row>
    <row r="43" spans="1:15" ht="19.5" customHeight="1">
      <c r="A43" s="336"/>
      <c r="B43" s="336"/>
      <c r="C43" s="336"/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</row>
    <row r="44" spans="1:15" ht="19.5" customHeight="1">
      <c r="A44" s="337"/>
      <c r="B44" s="337"/>
      <c r="C44" s="337"/>
      <c r="D44" s="337"/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O44" s="337"/>
    </row>
    <row r="45" spans="1:15" ht="19.5" customHeight="1" thickBot="1">
      <c r="A45" s="337"/>
      <c r="B45" s="337"/>
      <c r="C45" s="337"/>
      <c r="D45" s="337"/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337"/>
    </row>
    <row r="46" spans="1:15" ht="19.5" customHeight="1">
      <c r="A46" s="271" t="s">
        <v>16</v>
      </c>
      <c r="B46" s="330"/>
      <c r="C46" s="300"/>
      <c r="D46" s="300"/>
      <c r="E46" s="300"/>
      <c r="F46" s="300"/>
      <c r="G46" s="300"/>
      <c r="H46" s="300"/>
      <c r="I46" s="300"/>
      <c r="J46" s="68" t="s">
        <v>682</v>
      </c>
      <c r="K46" s="261">
        <f>IF(ISNA(VLOOKUP($C47,Stats,15,FALSE)),"",VLOOKUP($C47,Stats,15,FALSE))</f>
      </c>
      <c r="L46" s="262"/>
      <c r="M46" s="278" t="s">
        <v>17</v>
      </c>
      <c r="N46" s="279"/>
      <c r="O46" s="66" t="s">
        <v>30</v>
      </c>
    </row>
    <row r="47" spans="1:15" ht="19.5" customHeight="1">
      <c r="A47" s="240" t="s">
        <v>24</v>
      </c>
      <c r="B47" s="241"/>
      <c r="C47" s="242"/>
      <c r="D47" s="242"/>
      <c r="E47" s="242"/>
      <c r="F47" s="242"/>
      <c r="G47" s="242"/>
      <c r="H47" s="242"/>
      <c r="I47" s="243"/>
      <c r="J47" s="288">
        <f>SUBSTITUTE(IF(ISNA(VLOOKUP($C47,Stats,13,FALSE)),"",VLOOKUP($C47,Stats,13,FALSE)),0,"")</f>
      </c>
      <c r="K47" s="289"/>
      <c r="L47" s="290"/>
      <c r="M47" s="230"/>
      <c r="N47" s="231"/>
      <c r="O47" s="13">
        <f aca="true" t="shared" si="3" ref="O47:O54">IF(ISNA(VLOOKUP(M47,MasterItems,2,FALSE)),0,VLOOKUP(M47,MasterItems,2,FALSE))</f>
        <v>0</v>
      </c>
    </row>
    <row r="48" spans="1:21" s="3" customFormat="1" ht="19.5" customHeight="1">
      <c r="A48" s="69" t="s">
        <v>7</v>
      </c>
      <c r="B48" s="70" t="s">
        <v>8</v>
      </c>
      <c r="C48" s="70" t="s">
        <v>9</v>
      </c>
      <c r="D48" s="70" t="s">
        <v>10</v>
      </c>
      <c r="E48" s="70" t="s">
        <v>11</v>
      </c>
      <c r="F48" s="70" t="s">
        <v>12</v>
      </c>
      <c r="G48" s="70" t="s">
        <v>13</v>
      </c>
      <c r="H48" s="70" t="s">
        <v>14</v>
      </c>
      <c r="I48" s="62" t="s">
        <v>15</v>
      </c>
      <c r="J48" s="244"/>
      <c r="K48" s="244"/>
      <c r="L48" s="244"/>
      <c r="M48" s="230"/>
      <c r="N48" s="231"/>
      <c r="O48" s="13">
        <f t="shared" si="3"/>
        <v>0</v>
      </c>
      <c r="P48"/>
      <c r="Q48"/>
      <c r="R48"/>
      <c r="S48"/>
      <c r="T48"/>
      <c r="U48"/>
    </row>
    <row r="49" spans="1:15" ht="19.5" customHeight="1">
      <c r="A49" s="15">
        <f>IF(ISNA(VLOOKUP($C47,Stats,4,FALSE)),"",VLOOKUP($C47,Stats,4,FALSE))</f>
      </c>
      <c r="B49" s="15">
        <f>IF(ISNA(VLOOKUP($C47,Stats,5,FALSE)),"",VLOOKUP($C47,Stats,5,FALSE))</f>
      </c>
      <c r="C49" s="15">
        <f>IF(ISNA(VLOOKUP($C47,Stats,6,FALSE)),"",VLOOKUP($C47,Stats,6,FALSE))</f>
      </c>
      <c r="D49" s="15">
        <f>IF(ISNA(VLOOKUP($C47,Stats,7,FALSE)),"",VLOOKUP($C47,Stats,7,FALSE))</f>
      </c>
      <c r="E49" s="15">
        <f>IF(ISNA(VLOOKUP($C47,Stats,8,FALSE)),"",VLOOKUP($C47,Stats,8,FALSE))</f>
      </c>
      <c r="F49" s="15">
        <f>IF(ISNA(VLOOKUP($C47,Stats,9,FALSE)),"",VLOOKUP($C47,Stats,9,FALSE))</f>
      </c>
      <c r="G49" s="15">
        <f>IF(ISNA(VLOOKUP($C47,Stats,10,FALSE)),"",VLOOKUP($C47,Stats,10,FALSE))</f>
      </c>
      <c r="H49" s="15">
        <f>IF(ISNA(VLOOKUP($C47,Stats,11,FALSE)),"",VLOOKUP($C47,Stats,11,FALSE))</f>
      </c>
      <c r="I49" s="15">
        <f>IF(ISNA(VLOOKUP($C47,Stats,12,FALSE)),"",VLOOKUP($C47,Stats,12,FALSE))</f>
      </c>
      <c r="J49" s="244"/>
      <c r="K49" s="244"/>
      <c r="L49" s="244"/>
      <c r="M49" s="230"/>
      <c r="N49" s="231"/>
      <c r="O49" s="13">
        <f t="shared" si="3"/>
        <v>0</v>
      </c>
    </row>
    <row r="50" spans="1:15" ht="19.5" customHeight="1">
      <c r="A50" s="11"/>
      <c r="B50" s="10"/>
      <c r="C50" s="10"/>
      <c r="D50" s="10"/>
      <c r="E50" s="10"/>
      <c r="F50" s="10"/>
      <c r="G50" s="10"/>
      <c r="H50" s="10"/>
      <c r="I50" s="12"/>
      <c r="J50" s="227"/>
      <c r="K50" s="228"/>
      <c r="L50" s="229"/>
      <c r="M50" s="230"/>
      <c r="N50" s="231"/>
      <c r="O50" s="13">
        <f t="shared" si="3"/>
        <v>0</v>
      </c>
    </row>
    <row r="51" spans="1:15" ht="19.5" customHeight="1" thickBot="1">
      <c r="A51" s="257" t="s">
        <v>31</v>
      </c>
      <c r="B51" s="258"/>
      <c r="C51" s="258"/>
      <c r="D51" s="43" t="str">
        <f>IF(M54&lt;&gt;"",VLOOKUP(M54,ArmorSave,2,FALSE),"-")</f>
        <v>-</v>
      </c>
      <c r="E51" s="255" t="s">
        <v>525</v>
      </c>
      <c r="F51" s="256"/>
      <c r="G51" s="333"/>
      <c r="H51" s="334"/>
      <c r="I51" s="335"/>
      <c r="J51" s="227"/>
      <c r="K51" s="228"/>
      <c r="L51" s="229"/>
      <c r="M51" s="230"/>
      <c r="N51" s="231"/>
      <c r="O51" s="13">
        <f t="shared" si="3"/>
        <v>0</v>
      </c>
    </row>
    <row r="52" spans="1:15" ht="19.5" customHeight="1">
      <c r="A52" s="245"/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7"/>
      <c r="M52" s="230"/>
      <c r="N52" s="231"/>
      <c r="O52" s="13">
        <f t="shared" si="3"/>
        <v>0</v>
      </c>
    </row>
    <row r="53" spans="1:15" ht="19.5" customHeight="1">
      <c r="A53" s="248"/>
      <c r="B53" s="249"/>
      <c r="C53" s="249"/>
      <c r="D53" s="249"/>
      <c r="E53" s="249"/>
      <c r="F53" s="249"/>
      <c r="G53" s="249"/>
      <c r="H53" s="249"/>
      <c r="I53" s="249"/>
      <c r="J53" s="249"/>
      <c r="K53" s="249"/>
      <c r="L53" s="250"/>
      <c r="M53" s="230"/>
      <c r="N53" s="231"/>
      <c r="O53" s="13">
        <f t="shared" si="3"/>
        <v>0</v>
      </c>
    </row>
    <row r="54" spans="1:15" ht="19.5" customHeight="1" thickBot="1">
      <c r="A54" s="294" t="s">
        <v>28</v>
      </c>
      <c r="B54" s="295"/>
      <c r="C54" s="46">
        <f>IF(ISNA(VLOOKUP($C47,Stats,3,FALSE)),0,VLOOKUP($C47,Stats,3,FALSE))</f>
        <v>0</v>
      </c>
      <c r="D54" s="259" t="s">
        <v>29</v>
      </c>
      <c r="E54" s="260"/>
      <c r="F54" s="16">
        <f>IF(ISNUMBER(C54),SUM(O47:O54)+C54,0)</f>
        <v>0</v>
      </c>
      <c r="G54" s="253" t="s">
        <v>526</v>
      </c>
      <c r="H54" s="254"/>
      <c r="I54" s="42">
        <f>IF(C47&lt;&gt;"",VLOOKUP($C47,Stats,2,FALSE)+L55+I55+O55,0)</f>
        <v>0</v>
      </c>
      <c r="J54" s="71"/>
      <c r="K54" s="296" t="s">
        <v>683</v>
      </c>
      <c r="L54" s="297"/>
      <c r="M54" s="251"/>
      <c r="N54" s="252"/>
      <c r="O54" s="13">
        <f t="shared" si="3"/>
        <v>0</v>
      </c>
    </row>
    <row r="55" spans="1:15" ht="19.5" customHeight="1" thickBot="1">
      <c r="A55" s="332"/>
      <c r="B55" s="332"/>
      <c r="C55" s="332"/>
      <c r="D55" s="332"/>
      <c r="E55" s="304" t="s">
        <v>534</v>
      </c>
      <c r="F55" s="305"/>
      <c r="G55" s="305"/>
      <c r="H55" s="306"/>
      <c r="I55" s="8"/>
      <c r="J55" s="307" t="s">
        <v>681</v>
      </c>
      <c r="K55" s="308"/>
      <c r="L55" s="45"/>
      <c r="M55" s="239" t="s">
        <v>533</v>
      </c>
      <c r="N55" s="239"/>
      <c r="O55" s="8"/>
    </row>
    <row r="56" spans="1:15" ht="9.75" customHeight="1" thickBo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9.5" customHeight="1">
      <c r="A57" s="271" t="s">
        <v>16</v>
      </c>
      <c r="B57" s="330"/>
      <c r="C57" s="300"/>
      <c r="D57" s="300"/>
      <c r="E57" s="300"/>
      <c r="F57" s="300"/>
      <c r="G57" s="300"/>
      <c r="H57" s="300"/>
      <c r="I57" s="300"/>
      <c r="J57" s="68" t="s">
        <v>682</v>
      </c>
      <c r="K57" s="261">
        <f>IF(ISNA(VLOOKUP($C58,Stats,15,FALSE)),"",VLOOKUP($C58,Stats,15,FALSE))</f>
      </c>
      <c r="L57" s="262"/>
      <c r="M57" s="278" t="s">
        <v>17</v>
      </c>
      <c r="N57" s="279"/>
      <c r="O57" s="66" t="s">
        <v>30</v>
      </c>
    </row>
    <row r="58" spans="1:15" ht="19.5" customHeight="1">
      <c r="A58" s="240" t="s">
        <v>24</v>
      </c>
      <c r="B58" s="241"/>
      <c r="C58" s="242"/>
      <c r="D58" s="242"/>
      <c r="E58" s="242"/>
      <c r="F58" s="242"/>
      <c r="G58" s="242"/>
      <c r="H58" s="242"/>
      <c r="I58" s="243"/>
      <c r="J58" s="288">
        <f>SUBSTITUTE(IF(ISNA(VLOOKUP($C58,Stats,13,FALSE)),"",VLOOKUP($C58,Stats,13,FALSE)),0,"")</f>
      </c>
      <c r="K58" s="289"/>
      <c r="L58" s="290"/>
      <c r="M58" s="230"/>
      <c r="N58" s="231"/>
      <c r="O58" s="13">
        <f aca="true" t="shared" si="4" ref="O58:O65">IF(ISNA(VLOOKUP(M58,MasterItems,2,FALSE)),0,VLOOKUP(M58,MasterItems,2,FALSE))</f>
        <v>0</v>
      </c>
    </row>
    <row r="59" spans="1:21" s="3" customFormat="1" ht="19.5" customHeight="1">
      <c r="A59" s="69" t="s">
        <v>7</v>
      </c>
      <c r="B59" s="70" t="s">
        <v>8</v>
      </c>
      <c r="C59" s="70" t="s">
        <v>9</v>
      </c>
      <c r="D59" s="70" t="s">
        <v>10</v>
      </c>
      <c r="E59" s="70" t="s">
        <v>11</v>
      </c>
      <c r="F59" s="70" t="s">
        <v>12</v>
      </c>
      <c r="G59" s="70" t="s">
        <v>13</v>
      </c>
      <c r="H59" s="70" t="s">
        <v>14</v>
      </c>
      <c r="I59" s="62" t="s">
        <v>15</v>
      </c>
      <c r="J59" s="244"/>
      <c r="K59" s="244"/>
      <c r="L59" s="244"/>
      <c r="M59" s="230"/>
      <c r="N59" s="231"/>
      <c r="O59" s="13">
        <f t="shared" si="4"/>
        <v>0</v>
      </c>
      <c r="P59"/>
      <c r="Q59"/>
      <c r="R59"/>
      <c r="S59"/>
      <c r="T59"/>
      <c r="U59"/>
    </row>
    <row r="60" spans="1:15" ht="19.5" customHeight="1">
      <c r="A60" s="15">
        <f>IF(ISNA(VLOOKUP($C58,Stats,4,FALSE)),"",VLOOKUP($C58,Stats,4,FALSE))</f>
      </c>
      <c r="B60" s="15">
        <f>IF(ISNA(VLOOKUP($C58,Stats,5,FALSE)),"",VLOOKUP($C58,Stats,5,FALSE))</f>
      </c>
      <c r="C60" s="15">
        <f>IF(ISNA(VLOOKUP($C58,Stats,6,FALSE)),"",VLOOKUP($C58,Stats,6,FALSE))</f>
      </c>
      <c r="D60" s="15">
        <f>IF(ISNA(VLOOKUP($C58,Stats,7,FALSE)),"",VLOOKUP($C58,Stats,7,FALSE))</f>
      </c>
      <c r="E60" s="15">
        <f>IF(ISNA(VLOOKUP($C58,Stats,8,FALSE)),"",VLOOKUP($C58,Stats,8,FALSE))</f>
      </c>
      <c r="F60" s="15">
        <f>IF(ISNA(VLOOKUP($C58,Stats,9,FALSE)),"",VLOOKUP($C58,Stats,9,FALSE))</f>
      </c>
      <c r="G60" s="15">
        <f>IF(ISNA(VLOOKUP($C58,Stats,10,FALSE)),"",VLOOKUP($C58,Stats,10,FALSE))</f>
      </c>
      <c r="H60" s="15">
        <f>IF(ISNA(VLOOKUP($C58,Stats,11,FALSE)),"",VLOOKUP($C58,Stats,11,FALSE))</f>
      </c>
      <c r="I60" s="15">
        <f>IF(ISNA(VLOOKUP($C58,Stats,12,FALSE)),"",VLOOKUP($C58,Stats,12,FALSE))</f>
      </c>
      <c r="J60" s="244"/>
      <c r="K60" s="244"/>
      <c r="L60" s="244"/>
      <c r="M60" s="230"/>
      <c r="N60" s="231"/>
      <c r="O60" s="13">
        <f t="shared" si="4"/>
        <v>0</v>
      </c>
    </row>
    <row r="61" spans="1:15" ht="19.5" customHeight="1">
      <c r="A61" s="11"/>
      <c r="B61" s="10"/>
      <c r="C61" s="10"/>
      <c r="D61" s="10"/>
      <c r="E61" s="10"/>
      <c r="F61" s="10"/>
      <c r="G61" s="10"/>
      <c r="H61" s="10"/>
      <c r="I61" s="12"/>
      <c r="J61" s="227"/>
      <c r="K61" s="228"/>
      <c r="L61" s="229"/>
      <c r="M61" s="230"/>
      <c r="N61" s="231"/>
      <c r="O61" s="13">
        <f t="shared" si="4"/>
        <v>0</v>
      </c>
    </row>
    <row r="62" spans="1:15" ht="19.5" customHeight="1" thickBot="1">
      <c r="A62" s="257" t="s">
        <v>31</v>
      </c>
      <c r="B62" s="258"/>
      <c r="C62" s="258"/>
      <c r="D62" s="43" t="str">
        <f>IF(M65&lt;&gt;"",VLOOKUP(M65,ArmorSave,2,FALSE),"-")</f>
        <v>-</v>
      </c>
      <c r="E62" s="255" t="s">
        <v>525</v>
      </c>
      <c r="F62" s="256"/>
      <c r="G62" s="333"/>
      <c r="H62" s="334"/>
      <c r="I62" s="335"/>
      <c r="J62" s="227"/>
      <c r="K62" s="228"/>
      <c r="L62" s="229"/>
      <c r="M62" s="230"/>
      <c r="N62" s="231"/>
      <c r="O62" s="13">
        <f t="shared" si="4"/>
        <v>0</v>
      </c>
    </row>
    <row r="63" spans="1:15" ht="19.5" customHeight="1">
      <c r="A63" s="245"/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7"/>
      <c r="M63" s="230"/>
      <c r="N63" s="231"/>
      <c r="O63" s="13">
        <f t="shared" si="4"/>
        <v>0</v>
      </c>
    </row>
    <row r="64" spans="1:15" ht="19.5" customHeight="1">
      <c r="A64" s="248"/>
      <c r="B64" s="249"/>
      <c r="C64" s="249"/>
      <c r="D64" s="249"/>
      <c r="E64" s="249"/>
      <c r="F64" s="249"/>
      <c r="G64" s="249"/>
      <c r="H64" s="249"/>
      <c r="I64" s="249"/>
      <c r="J64" s="249"/>
      <c r="K64" s="249"/>
      <c r="L64" s="250"/>
      <c r="M64" s="230"/>
      <c r="N64" s="231"/>
      <c r="O64" s="13">
        <f t="shared" si="4"/>
        <v>0</v>
      </c>
    </row>
    <row r="65" spans="1:15" ht="19.5" customHeight="1" thickBot="1">
      <c r="A65" s="294" t="s">
        <v>28</v>
      </c>
      <c r="B65" s="295"/>
      <c r="C65" s="46">
        <f>IF(ISNA(VLOOKUP($C58,Stats,3,FALSE)),0,VLOOKUP($C58,Stats,3,FALSE))</f>
        <v>0</v>
      </c>
      <c r="D65" s="259" t="s">
        <v>29</v>
      </c>
      <c r="E65" s="260"/>
      <c r="F65" s="16">
        <f>IF(ISNUMBER(C65),SUM(O58:O65)+C65,0)</f>
        <v>0</v>
      </c>
      <c r="G65" s="253" t="s">
        <v>526</v>
      </c>
      <c r="H65" s="254"/>
      <c r="I65" s="42">
        <f>IF(C58&lt;&gt;"",VLOOKUP($C58,Stats,2,FALSE)+L66+I66+O66,0)</f>
        <v>0</v>
      </c>
      <c r="J65" s="71"/>
      <c r="K65" s="296" t="s">
        <v>683</v>
      </c>
      <c r="L65" s="297"/>
      <c r="M65" s="251"/>
      <c r="N65" s="252"/>
      <c r="O65" s="13">
        <f t="shared" si="4"/>
        <v>0</v>
      </c>
    </row>
    <row r="66" spans="1:15" ht="19.5" customHeight="1" thickBot="1">
      <c r="A66" s="332"/>
      <c r="B66" s="332"/>
      <c r="C66" s="332"/>
      <c r="D66" s="332"/>
      <c r="E66" s="304" t="s">
        <v>534</v>
      </c>
      <c r="F66" s="305"/>
      <c r="G66" s="305"/>
      <c r="H66" s="306"/>
      <c r="I66" s="8"/>
      <c r="J66" s="307" t="s">
        <v>681</v>
      </c>
      <c r="K66" s="308"/>
      <c r="L66" s="45"/>
      <c r="M66" s="239" t="s">
        <v>533</v>
      </c>
      <c r="N66" s="239"/>
      <c r="O66" s="8"/>
    </row>
    <row r="67" spans="1:15" ht="9.75" customHeight="1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9.5" customHeight="1">
      <c r="A68" s="271" t="s">
        <v>16</v>
      </c>
      <c r="B68" s="330"/>
      <c r="C68" s="300"/>
      <c r="D68" s="300"/>
      <c r="E68" s="300"/>
      <c r="F68" s="300"/>
      <c r="G68" s="300"/>
      <c r="H68" s="300"/>
      <c r="I68" s="300"/>
      <c r="J68" s="68" t="s">
        <v>682</v>
      </c>
      <c r="K68" s="261">
        <f>IF(ISNA(VLOOKUP($C69,Stats,15,FALSE)),"",VLOOKUP($C69,Stats,15,FALSE))</f>
      </c>
      <c r="L68" s="262"/>
      <c r="M68" s="278" t="s">
        <v>17</v>
      </c>
      <c r="N68" s="279"/>
      <c r="O68" s="66" t="s">
        <v>30</v>
      </c>
    </row>
    <row r="69" spans="1:15" ht="19.5" customHeight="1">
      <c r="A69" s="240" t="s">
        <v>24</v>
      </c>
      <c r="B69" s="241"/>
      <c r="C69" s="242"/>
      <c r="D69" s="242"/>
      <c r="E69" s="242"/>
      <c r="F69" s="242"/>
      <c r="G69" s="242"/>
      <c r="H69" s="242"/>
      <c r="I69" s="243"/>
      <c r="J69" s="288">
        <f>SUBSTITUTE(IF(ISNA(VLOOKUP($C69,Stats,13,FALSE)),"",VLOOKUP($C69,Stats,13,FALSE)),0,"")</f>
      </c>
      <c r="K69" s="289"/>
      <c r="L69" s="290"/>
      <c r="M69" s="230"/>
      <c r="N69" s="231"/>
      <c r="O69" s="13">
        <f aca="true" t="shared" si="5" ref="O69:O76">IF(ISNA(VLOOKUP(M69,MasterItems,2,FALSE)),0,VLOOKUP(M69,MasterItems,2,FALSE))</f>
        <v>0</v>
      </c>
    </row>
    <row r="70" spans="1:21" s="3" customFormat="1" ht="19.5" customHeight="1">
      <c r="A70" s="69" t="s">
        <v>7</v>
      </c>
      <c r="B70" s="70" t="s">
        <v>8</v>
      </c>
      <c r="C70" s="70" t="s">
        <v>9</v>
      </c>
      <c r="D70" s="70" t="s">
        <v>10</v>
      </c>
      <c r="E70" s="70" t="s">
        <v>11</v>
      </c>
      <c r="F70" s="70" t="s">
        <v>12</v>
      </c>
      <c r="G70" s="70" t="s">
        <v>13</v>
      </c>
      <c r="H70" s="70" t="s">
        <v>14</v>
      </c>
      <c r="I70" s="62" t="s">
        <v>15</v>
      </c>
      <c r="J70" s="244"/>
      <c r="K70" s="244"/>
      <c r="L70" s="244"/>
      <c r="M70" s="230"/>
      <c r="N70" s="231"/>
      <c r="O70" s="13">
        <f t="shared" si="5"/>
        <v>0</v>
      </c>
      <c r="P70"/>
      <c r="Q70"/>
      <c r="R70"/>
      <c r="S70"/>
      <c r="T70"/>
      <c r="U70"/>
    </row>
    <row r="71" spans="1:15" ht="19.5" customHeight="1">
      <c r="A71" s="15">
        <f>IF(ISNA(VLOOKUP($C69,Stats,4,FALSE)),"",VLOOKUP($C69,Stats,4,FALSE))</f>
      </c>
      <c r="B71" s="15">
        <f>IF(ISNA(VLOOKUP($C69,Stats,5,FALSE)),"",VLOOKUP($C69,Stats,5,FALSE))</f>
      </c>
      <c r="C71" s="15">
        <f>IF(ISNA(VLOOKUP($C69,Stats,6,FALSE)),"",VLOOKUP($C69,Stats,6,FALSE))</f>
      </c>
      <c r="D71" s="15">
        <f>IF(ISNA(VLOOKUP($C69,Stats,7,FALSE)),"",VLOOKUP($C69,Stats,7,FALSE))</f>
      </c>
      <c r="E71" s="15">
        <f>IF(ISNA(VLOOKUP($C69,Stats,8,FALSE)),"",VLOOKUP($C69,Stats,8,FALSE))</f>
      </c>
      <c r="F71" s="15">
        <f>IF(ISNA(VLOOKUP($C69,Stats,9,FALSE)),"",VLOOKUP($C69,Stats,9,FALSE))</f>
      </c>
      <c r="G71" s="15">
        <f>IF(ISNA(VLOOKUP($C69,Stats,10,FALSE)),"",VLOOKUP($C69,Stats,10,FALSE))</f>
      </c>
      <c r="H71" s="15">
        <f>IF(ISNA(VLOOKUP($C69,Stats,11,FALSE)),"",VLOOKUP($C69,Stats,11,FALSE))</f>
      </c>
      <c r="I71" s="15">
        <f>IF(ISNA(VLOOKUP($C69,Stats,12,FALSE)),"",VLOOKUP($C69,Stats,12,FALSE))</f>
      </c>
      <c r="J71" s="244"/>
      <c r="K71" s="244"/>
      <c r="L71" s="244"/>
      <c r="M71" s="230"/>
      <c r="N71" s="231"/>
      <c r="O71" s="13">
        <f t="shared" si="5"/>
        <v>0</v>
      </c>
    </row>
    <row r="72" spans="1:15" ht="19.5" customHeight="1">
      <c r="A72" s="11"/>
      <c r="B72" s="10"/>
      <c r="C72" s="10"/>
      <c r="D72" s="10"/>
      <c r="E72" s="10"/>
      <c r="F72" s="10"/>
      <c r="G72" s="10"/>
      <c r="H72" s="10"/>
      <c r="I72" s="12"/>
      <c r="J72" s="227"/>
      <c r="K72" s="228"/>
      <c r="L72" s="229"/>
      <c r="M72" s="230"/>
      <c r="N72" s="231"/>
      <c r="O72" s="13">
        <f t="shared" si="5"/>
        <v>0</v>
      </c>
    </row>
    <row r="73" spans="1:15" ht="19.5" customHeight="1" thickBot="1">
      <c r="A73" s="257" t="s">
        <v>31</v>
      </c>
      <c r="B73" s="258"/>
      <c r="C73" s="258"/>
      <c r="D73" s="43" t="str">
        <f>IF(M76&lt;&gt;"",VLOOKUP(M76,ArmorSave,2,FALSE),"-")</f>
        <v>-</v>
      </c>
      <c r="E73" s="255" t="s">
        <v>525</v>
      </c>
      <c r="F73" s="256"/>
      <c r="G73" s="333"/>
      <c r="H73" s="334"/>
      <c r="I73" s="335"/>
      <c r="J73" s="227"/>
      <c r="K73" s="228"/>
      <c r="L73" s="229"/>
      <c r="M73" s="230"/>
      <c r="N73" s="231"/>
      <c r="O73" s="13">
        <f t="shared" si="5"/>
        <v>0</v>
      </c>
    </row>
    <row r="74" spans="1:15" ht="19.5" customHeight="1">
      <c r="A74" s="245"/>
      <c r="B74" s="246"/>
      <c r="C74" s="246"/>
      <c r="D74" s="246"/>
      <c r="E74" s="246"/>
      <c r="F74" s="246"/>
      <c r="G74" s="246"/>
      <c r="H74" s="246"/>
      <c r="I74" s="246"/>
      <c r="J74" s="246"/>
      <c r="K74" s="246"/>
      <c r="L74" s="247"/>
      <c r="M74" s="230"/>
      <c r="N74" s="231"/>
      <c r="O74" s="13">
        <f t="shared" si="5"/>
        <v>0</v>
      </c>
    </row>
    <row r="75" spans="1:15" ht="19.5" customHeight="1">
      <c r="A75" s="248"/>
      <c r="B75" s="249"/>
      <c r="C75" s="249"/>
      <c r="D75" s="249"/>
      <c r="E75" s="249"/>
      <c r="F75" s="249"/>
      <c r="G75" s="249"/>
      <c r="H75" s="249"/>
      <c r="I75" s="249"/>
      <c r="J75" s="249"/>
      <c r="K75" s="249"/>
      <c r="L75" s="250"/>
      <c r="M75" s="230"/>
      <c r="N75" s="231"/>
      <c r="O75" s="13">
        <f t="shared" si="5"/>
        <v>0</v>
      </c>
    </row>
    <row r="76" spans="1:15" ht="19.5" customHeight="1" thickBot="1">
      <c r="A76" s="294" t="s">
        <v>28</v>
      </c>
      <c r="B76" s="295"/>
      <c r="C76" s="46">
        <f>IF(ISNA(VLOOKUP($C69,Stats,3,FALSE)),0,VLOOKUP($C69,Stats,3,FALSE))</f>
        <v>0</v>
      </c>
      <c r="D76" s="259" t="s">
        <v>29</v>
      </c>
      <c r="E76" s="260"/>
      <c r="F76" s="16">
        <f>IF(ISNUMBER(C76),SUM(O69:O76)+C76,0)</f>
        <v>0</v>
      </c>
      <c r="G76" s="253" t="s">
        <v>526</v>
      </c>
      <c r="H76" s="254"/>
      <c r="I76" s="42">
        <f>IF(C69&lt;&gt;"",VLOOKUP($C69,Stats,2,FALSE)+L77+I77+O77,0)</f>
        <v>0</v>
      </c>
      <c r="J76" s="71"/>
      <c r="K76" s="296" t="s">
        <v>683</v>
      </c>
      <c r="L76" s="297"/>
      <c r="M76" s="251"/>
      <c r="N76" s="252"/>
      <c r="O76" s="13">
        <f t="shared" si="5"/>
        <v>0</v>
      </c>
    </row>
    <row r="77" spans="1:15" ht="19.5" customHeight="1" thickBot="1">
      <c r="A77" s="332"/>
      <c r="B77" s="332"/>
      <c r="C77" s="332"/>
      <c r="D77" s="332"/>
      <c r="E77" s="304" t="s">
        <v>534</v>
      </c>
      <c r="F77" s="305"/>
      <c r="G77" s="305"/>
      <c r="H77" s="306"/>
      <c r="I77" s="8"/>
      <c r="J77" s="307" t="s">
        <v>681</v>
      </c>
      <c r="K77" s="308"/>
      <c r="L77" s="45"/>
      <c r="M77" s="239" t="s">
        <v>533</v>
      </c>
      <c r="N77" s="239"/>
      <c r="O77" s="8"/>
    </row>
    <row r="78" spans="1:15" ht="19.5" customHeight="1">
      <c r="A78" s="14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9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9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9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9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9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9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9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ht="19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19.5" customHeight="1">
      <c r="A89"/>
      <c r="B89"/>
      <c r="C89"/>
      <c r="D89"/>
      <c r="E89"/>
      <c r="I89"/>
      <c r="O89"/>
    </row>
    <row r="90" spans="1:15" ht="19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19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19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19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19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19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19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ht="19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ht="19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ht="19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ht="19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ht="19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ht="19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ht="19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ht="19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ht="19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ht="19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ht="19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ht="19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ht="19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ht="19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ht="19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ht="19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ht="19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ht="19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ht="19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ht="19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ht="19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19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19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ht="19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ht="19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9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9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9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9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9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19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19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ht="19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ht="19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ht="19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ht="19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ht="19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ht="19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ht="19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ht="19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ht="19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ht="19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ht="19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ht="19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ht="19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ht="19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ht="19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ht="19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ht="19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ht="19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ht="19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ht="19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ht="19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ht="19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ht="19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ht="19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ht="19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ht="19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ht="19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ht="19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ht="19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ht="19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ht="19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ht="19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ht="19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ht="19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ht="19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ht="19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ht="19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ht="19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ht="19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ht="19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ht="19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ht="19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ht="19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ht="19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ht="19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ht="19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ht="19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ht="19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ht="19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ht="19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5" ht="19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5" ht="19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5" ht="19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 ht="19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1:15" ht="19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ht="19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ht="19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ht="19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ht="19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ht="19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ht="19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ht="19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 ht="19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 ht="19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1:15" ht="19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1:15" ht="19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1:15" ht="19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1:15" ht="19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1:15" ht="19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5" ht="19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5" ht="19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5" ht="19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 ht="19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5" ht="19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15" ht="19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15" ht="19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15" ht="19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1:15" ht="19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1:15" ht="19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1:15" ht="19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1:15" ht="19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1:15" ht="19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1:15" ht="19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1:15" ht="19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1:15" ht="19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1:15" ht="19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1:15" ht="19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1:15" ht="19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1:15" ht="19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1:15" ht="19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1:15" ht="19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1:15" ht="19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1:15" ht="19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1:15" ht="19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1:15" ht="19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1:15" ht="19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1:15" ht="19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1:15" ht="19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1:15" ht="19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1:15" ht="19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1:15" ht="19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1:15" ht="19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1:15" ht="19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1:15" ht="19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1:15" ht="19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1:15" ht="19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1:15" ht="19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1:15" ht="19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1:15" ht="19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1:15" ht="19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5" ht="19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5" ht="19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1:15" ht="19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1:15" ht="19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1:15" ht="19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1:15" ht="19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1:15" ht="19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1:15" ht="19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1:15" ht="19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1:15" ht="19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1:15" ht="19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1:15" ht="19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1:15" ht="19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1:15" ht="19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1:15" ht="19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1:15" ht="19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1:15" ht="19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1:15" ht="19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1:15" ht="19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1:15" ht="19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1:15" ht="19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ht="19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ht="19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ht="19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ht="19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ht="19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ht="19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5" ht="19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:15" ht="19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ht="19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ht="19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ht="19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ht="19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ht="19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ht="19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ht="19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ht="19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ht="19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ht="19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ht="19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ht="19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ht="19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ht="19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ht="19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ht="19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ht="19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ht="19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ht="19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ht="19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ht="19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ht="19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ht="19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ht="19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ht="19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ht="19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ht="19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ht="19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ht="19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ht="19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ht="19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ht="19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ht="19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 ht="19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 ht="19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 ht="19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 ht="19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 ht="19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 ht="19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15" ht="19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1:15" ht="19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1:15" ht="19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1:15" ht="19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</row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</sheetData>
  <sheetProtection/>
  <mergeCells count="211">
    <mergeCell ref="A68:B68"/>
    <mergeCell ref="A63:L64"/>
    <mergeCell ref="C68:I68"/>
    <mergeCell ref="A65:B65"/>
    <mergeCell ref="A66:D66"/>
    <mergeCell ref="E66:H66"/>
    <mergeCell ref="D65:E65"/>
    <mergeCell ref="J77:K77"/>
    <mergeCell ref="M74:N74"/>
    <mergeCell ref="A76:B76"/>
    <mergeCell ref="M77:N77"/>
    <mergeCell ref="D76:E76"/>
    <mergeCell ref="A77:D77"/>
    <mergeCell ref="E77:H77"/>
    <mergeCell ref="M63:N63"/>
    <mergeCell ref="K68:L68"/>
    <mergeCell ref="G73:I73"/>
    <mergeCell ref="K76:L76"/>
    <mergeCell ref="G65:H65"/>
    <mergeCell ref="J66:K66"/>
    <mergeCell ref="M64:N64"/>
    <mergeCell ref="M68:N68"/>
    <mergeCell ref="M65:N65"/>
    <mergeCell ref="J72:L72"/>
    <mergeCell ref="M39:N39"/>
    <mergeCell ref="M40:N40"/>
    <mergeCell ref="G51:I51"/>
    <mergeCell ref="M53:N53"/>
    <mergeCell ref="M47:N47"/>
    <mergeCell ref="M46:N46"/>
    <mergeCell ref="J49:L49"/>
    <mergeCell ref="M49:N49"/>
    <mergeCell ref="A52:L53"/>
    <mergeCell ref="J50:L50"/>
    <mergeCell ref="M52:N52"/>
    <mergeCell ref="K41:L41"/>
    <mergeCell ref="J42:K42"/>
    <mergeCell ref="M50:N50"/>
    <mergeCell ref="J51:L51"/>
    <mergeCell ref="M51:N51"/>
    <mergeCell ref="M48:N48"/>
    <mergeCell ref="K54:L54"/>
    <mergeCell ref="C46:I46"/>
    <mergeCell ref="D54:E54"/>
    <mergeCell ref="G54:H54"/>
    <mergeCell ref="J48:L48"/>
    <mergeCell ref="M62:N62"/>
    <mergeCell ref="J59:L59"/>
    <mergeCell ref="M57:N57"/>
    <mergeCell ref="C58:I58"/>
    <mergeCell ref="E62:F62"/>
    <mergeCell ref="G62:I62"/>
    <mergeCell ref="J62:L62"/>
    <mergeCell ref="C57:I57"/>
    <mergeCell ref="M59:N59"/>
    <mergeCell ref="J60:L60"/>
    <mergeCell ref="M60:N60"/>
    <mergeCell ref="J55:K55"/>
    <mergeCell ref="K33:L33"/>
    <mergeCell ref="A51:C51"/>
    <mergeCell ref="A43:O45"/>
    <mergeCell ref="E51:F51"/>
    <mergeCell ref="A46:B46"/>
    <mergeCell ref="A39:L40"/>
    <mergeCell ref="G41:H41"/>
    <mergeCell ref="C34:I34"/>
    <mergeCell ref="A42:D42"/>
    <mergeCell ref="J37:L37"/>
    <mergeCell ref="E27:F27"/>
    <mergeCell ref="G27:I27"/>
    <mergeCell ref="A30:B30"/>
    <mergeCell ref="K30:L30"/>
    <mergeCell ref="G30:H30"/>
    <mergeCell ref="D30:E30"/>
    <mergeCell ref="J31:K31"/>
    <mergeCell ref="G38:I38"/>
    <mergeCell ref="A27:C27"/>
    <mergeCell ref="E31:H31"/>
    <mergeCell ref="A31:D31"/>
    <mergeCell ref="C23:I23"/>
    <mergeCell ref="M36:N36"/>
    <mergeCell ref="A28:L29"/>
    <mergeCell ref="A33:B33"/>
    <mergeCell ref="C33:I33"/>
    <mergeCell ref="J34:L34"/>
    <mergeCell ref="J35:L35"/>
    <mergeCell ref="J36:L36"/>
    <mergeCell ref="M35:N35"/>
    <mergeCell ref="M30:N30"/>
    <mergeCell ref="M34:N34"/>
    <mergeCell ref="M27:N27"/>
    <mergeCell ref="M12:N12"/>
    <mergeCell ref="M20:N20"/>
    <mergeCell ref="M17:N17"/>
    <mergeCell ref="M18:N18"/>
    <mergeCell ref="M16:N16"/>
    <mergeCell ref="M19:N19"/>
    <mergeCell ref="M28:N28"/>
    <mergeCell ref="M29:N29"/>
    <mergeCell ref="M31:N31"/>
    <mergeCell ref="M33:N33"/>
    <mergeCell ref="J69:L69"/>
    <mergeCell ref="K65:L65"/>
    <mergeCell ref="M41:N41"/>
    <mergeCell ref="M38:N38"/>
    <mergeCell ref="M55:N55"/>
    <mergeCell ref="M54:N54"/>
    <mergeCell ref="M61:N61"/>
    <mergeCell ref="K57:L57"/>
    <mergeCell ref="J58:L58"/>
    <mergeCell ref="M58:N58"/>
    <mergeCell ref="A62:C62"/>
    <mergeCell ref="A55:D55"/>
    <mergeCell ref="A57:B57"/>
    <mergeCell ref="A54:B54"/>
    <mergeCell ref="A58:B58"/>
    <mergeCell ref="E38:F38"/>
    <mergeCell ref="C47:I47"/>
    <mergeCell ref="E42:H42"/>
    <mergeCell ref="K46:L46"/>
    <mergeCell ref="D41:E41"/>
    <mergeCell ref="A38:C38"/>
    <mergeCell ref="J47:L47"/>
    <mergeCell ref="J38:L38"/>
    <mergeCell ref="A47:B47"/>
    <mergeCell ref="A41:B41"/>
    <mergeCell ref="E55:H55"/>
    <mergeCell ref="A2:F2"/>
    <mergeCell ref="F1:J1"/>
    <mergeCell ref="M42:N42"/>
    <mergeCell ref="G6:I6"/>
    <mergeCell ref="A11:B11"/>
    <mergeCell ref="A12:B12"/>
    <mergeCell ref="A22:B22"/>
    <mergeCell ref="A16:C16"/>
    <mergeCell ref="A34:B34"/>
    <mergeCell ref="M37:N37"/>
    <mergeCell ref="G4:I4"/>
    <mergeCell ref="C12:I12"/>
    <mergeCell ref="G5:I5"/>
    <mergeCell ref="C11:I11"/>
    <mergeCell ref="E3:F4"/>
    <mergeCell ref="A7:D7"/>
    <mergeCell ref="G7:I7"/>
    <mergeCell ref="E7:F7"/>
    <mergeCell ref="A3:D4"/>
    <mergeCell ref="M14:N14"/>
    <mergeCell ref="J16:L16"/>
    <mergeCell ref="A19:B19"/>
    <mergeCell ref="K19:L19"/>
    <mergeCell ref="G16:I16"/>
    <mergeCell ref="A17:L18"/>
    <mergeCell ref="E16:F16"/>
    <mergeCell ref="M26:N26"/>
    <mergeCell ref="M23:N23"/>
    <mergeCell ref="M25:N25"/>
    <mergeCell ref="M24:N24"/>
    <mergeCell ref="J24:L24"/>
    <mergeCell ref="J25:L25"/>
    <mergeCell ref="M22:N22"/>
    <mergeCell ref="M1:O1"/>
    <mergeCell ref="K2:O2"/>
    <mergeCell ref="N6:O6"/>
    <mergeCell ref="M15:N15"/>
    <mergeCell ref="J15:L15"/>
    <mergeCell ref="M11:N11"/>
    <mergeCell ref="K5:L5"/>
    <mergeCell ref="M7:N7"/>
    <mergeCell ref="K3:O4"/>
    <mergeCell ref="J14:L14"/>
    <mergeCell ref="A1:E1"/>
    <mergeCell ref="K1:L1"/>
    <mergeCell ref="G3:I3"/>
    <mergeCell ref="G2:I2"/>
    <mergeCell ref="J12:L12"/>
    <mergeCell ref="J13:L13"/>
    <mergeCell ref="M13:N13"/>
    <mergeCell ref="D19:E19"/>
    <mergeCell ref="G19:H19"/>
    <mergeCell ref="K11:L11"/>
    <mergeCell ref="A23:B23"/>
    <mergeCell ref="J23:L23"/>
    <mergeCell ref="C22:I22"/>
    <mergeCell ref="A20:C20"/>
    <mergeCell ref="E20:H20"/>
    <mergeCell ref="J20:K20"/>
    <mergeCell ref="K22:L22"/>
    <mergeCell ref="J27:L27"/>
    <mergeCell ref="A74:L75"/>
    <mergeCell ref="M76:N76"/>
    <mergeCell ref="M75:N75"/>
    <mergeCell ref="J73:L73"/>
    <mergeCell ref="M73:N73"/>
    <mergeCell ref="G76:H76"/>
    <mergeCell ref="E73:F73"/>
    <mergeCell ref="A73:C73"/>
    <mergeCell ref="M72:N72"/>
    <mergeCell ref="J70:L70"/>
    <mergeCell ref="M70:N70"/>
    <mergeCell ref="J71:L71"/>
    <mergeCell ref="M71:N71"/>
    <mergeCell ref="J61:L61"/>
    <mergeCell ref="M69:N69"/>
    <mergeCell ref="A5:D5"/>
    <mergeCell ref="E5:F5"/>
    <mergeCell ref="E6:F6"/>
    <mergeCell ref="A6:D6"/>
    <mergeCell ref="M66:N66"/>
    <mergeCell ref="A69:B69"/>
    <mergeCell ref="C69:I69"/>
    <mergeCell ref="J26:L26"/>
  </mergeCells>
  <dataValidations count="11">
    <dataValidation type="list" allowBlank="1" showInputMessage="1" showErrorMessage="1" sqref="M12:N12 M23:N23 M58:N58 M34:N34 M47:N47 M69:N69">
      <formula1>IF(Creation="Creation",INDIRECT(VLOOKUP($C12,Stats,14,FALSE)),Items)</formula1>
    </dataValidation>
    <dataValidation type="list" allowBlank="1" showInputMessage="1" showErrorMessage="1" sqref="M13:N13 M24:N24 M59:N59 M35:N35 M48:N48 M70:N70">
      <formula1>IF(Creation="Creation",INDIRECT(VLOOKUP($C12,Stats,14,FALSE)),Items)</formula1>
    </dataValidation>
    <dataValidation type="list" allowBlank="1" showInputMessage="1" showErrorMessage="1" sqref="M14:N14 M25:N25 M60:N60 M36:N36 M49:N49 M71:N71">
      <formula1>IF(Creation="Creation",INDIRECT(VLOOKUP($C12,Stats,14,FALSE)),Items)</formula1>
    </dataValidation>
    <dataValidation type="list" allowBlank="1" showInputMessage="1" showErrorMessage="1" sqref="M15:N15 M26:N26 M61:N61 M37:N37 M50:N50 M72:N72">
      <formula1>IF(Creation="Creation",INDIRECT(VLOOKUP($C12,Stats,14,FALSE)),Items)</formula1>
    </dataValidation>
    <dataValidation type="list" allowBlank="1" showInputMessage="1" showErrorMessage="1" sqref="M16:N16 M27:N27 M62:N62 M38:N38 M51:N51 M73:N73">
      <formula1>IF(Creation="Creation",INDIRECT(VLOOKUP($C12,Stats,14,FALSE)),Items)</formula1>
    </dataValidation>
    <dataValidation type="list" allowBlank="1" showInputMessage="1" showErrorMessage="1" sqref="M17:N17 M28:N28 M63:N63 M39:N39 M52:N52 M74:N74">
      <formula1>IF(Creation="Creation",INDIRECT(VLOOKUP($C12,Stats,14,FALSE)),Items)</formula1>
    </dataValidation>
    <dataValidation type="list" allowBlank="1" showInputMessage="1" showErrorMessage="1" sqref="M18:N18 M29:N29 M64:N64 M40:N40 M53:N53 M75:N75">
      <formula1>IF(Creation="Creation",INDIRECT(VLOOKUP($C12,Stats,14,FALSE)),Items)</formula1>
    </dataValidation>
    <dataValidation type="list" allowBlank="1" showInputMessage="1" showErrorMessage="1" sqref="M19:N19 M30:N30 M65:N65 M41:N41 M54:N54 M76:N76">
      <formula1>IF(Creation="Creation",INDIRECT(VLOOKUP($C12,Stats,14,FALSE)),Items)</formula1>
    </dataValidation>
    <dataValidation type="list" allowBlank="1" showInputMessage="1" showErrorMessage="1" sqref="G62 G51 G16 G27 G38 G73">
      <formula1>Status</formula1>
    </dataValidation>
    <dataValidation type="list" allowBlank="1" showInputMessage="1" showErrorMessage="1" sqref="C47:I47 C23:I23 C34:I34 C58:I58 C69:I69">
      <formula1>INDIRECT(ShortName)</formula1>
    </dataValidation>
    <dataValidation type="list" allowBlank="1" showInputMessage="1" showErrorMessage="1" sqref="M1">
      <formula1>INDIRECT(Source)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P47"/>
  <sheetViews>
    <sheetView zoomScalePageLayoutView="0" workbookViewId="0" topLeftCell="A1">
      <selection activeCell="T20" sqref="T20"/>
    </sheetView>
  </sheetViews>
  <sheetFormatPr defaultColWidth="9.140625" defaultRowHeight="12.75"/>
  <cols>
    <col min="1" max="9" width="4.7109375" style="2" customWidth="1"/>
    <col min="10" max="15" width="9.140625" style="2" customWidth="1"/>
  </cols>
  <sheetData>
    <row r="1" spans="1:15" ht="15" customHeight="1">
      <c r="A1" s="360"/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</row>
    <row r="2" spans="1:15" ht="15" customHeight="1">
      <c r="A2" s="360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</row>
    <row r="3" spans="1:15" ht="15" customHeight="1" thickBot="1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</row>
    <row r="4" spans="1:15" ht="16.5" customHeight="1">
      <c r="A4" s="271" t="s">
        <v>25</v>
      </c>
      <c r="B4" s="330"/>
      <c r="C4" s="300"/>
      <c r="D4" s="300"/>
      <c r="E4" s="300"/>
      <c r="F4" s="300"/>
      <c r="G4" s="300"/>
      <c r="H4" s="300"/>
      <c r="I4" s="357"/>
      <c r="J4" s="340" t="s">
        <v>794</v>
      </c>
      <c r="K4" s="330"/>
      <c r="L4" s="341"/>
      <c r="M4" s="363" t="s">
        <v>17</v>
      </c>
      <c r="N4" s="364"/>
      <c r="O4" s="73" t="s">
        <v>30</v>
      </c>
    </row>
    <row r="5" spans="1:15" ht="16.5" customHeight="1">
      <c r="A5" s="240" t="s">
        <v>26</v>
      </c>
      <c r="B5" s="241"/>
      <c r="C5" s="9"/>
      <c r="D5" s="353" t="s">
        <v>27</v>
      </c>
      <c r="E5" s="354"/>
      <c r="F5" s="355"/>
      <c r="G5" s="356"/>
      <c r="H5" s="356"/>
      <c r="I5" s="356"/>
      <c r="J5" s="288">
        <f>SUBSTITUTE(IF(ISNA(VLOOKUP($F5,Stats,13,FALSE)),"",VLOOKUP($F5,Stats,13,FALSE)),0,"")</f>
      </c>
      <c r="K5" s="289"/>
      <c r="L5" s="290"/>
      <c r="M5" s="344"/>
      <c r="N5" s="345"/>
      <c r="O5" s="13">
        <f aca="true" t="shared" si="0" ref="O5:O10">IF(ISNA(VLOOKUP(M5,MasterItems,2,FALSE)),0,VLOOKUP(M5,MasterItems,2,FALSE))</f>
        <v>0</v>
      </c>
    </row>
    <row r="6" spans="1:15" s="3" customFormat="1" ht="16.5" customHeight="1">
      <c r="A6" s="4" t="s">
        <v>7</v>
      </c>
      <c r="B6" s="5" t="s">
        <v>8</v>
      </c>
      <c r="C6" s="5" t="s">
        <v>9</v>
      </c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6" t="s">
        <v>15</v>
      </c>
      <c r="J6" s="342"/>
      <c r="K6" s="343"/>
      <c r="L6" s="343"/>
      <c r="M6" s="344"/>
      <c r="N6" s="345"/>
      <c r="O6" s="13">
        <f t="shared" si="0"/>
        <v>0</v>
      </c>
    </row>
    <row r="7" spans="1:15" ht="16.5" customHeight="1">
      <c r="A7" s="15">
        <f>IF(ISNA(VLOOKUP($F5,Stats,4,FALSE)),"",VLOOKUP($F5,Stats,4,FALSE))</f>
      </c>
      <c r="B7" s="15">
        <f>IF(ISNA(VLOOKUP($F5,Stats,5,FALSE)),"",VLOOKUP($F5,Stats,5,FALSE))</f>
      </c>
      <c r="C7" s="15">
        <f>IF(ISNA(VLOOKUP($F5,Stats,6,FALSE)),"",VLOOKUP($F5,Stats,6,FALSE))</f>
      </c>
      <c r="D7" s="15">
        <f>IF(ISNA(VLOOKUP($F5,Stats,7,FALSE)),"",VLOOKUP($F5,Stats,7,FALSE))</f>
      </c>
      <c r="E7" s="15">
        <f>IF(ISNA(VLOOKUP($F5,Stats,8,FALSE)),"",VLOOKUP($F5,Stats,8,FALSE))</f>
      </c>
      <c r="F7" s="15">
        <f>IF(ISNA(VLOOKUP($F5,Stats,9,FALSE)),"",VLOOKUP($F5,Stats,9,FALSE))</f>
      </c>
      <c r="G7" s="15">
        <f>IF(ISNA(VLOOKUP($F5,Stats,10,FALSE)),"",VLOOKUP($F5,Stats,10,FALSE))</f>
      </c>
      <c r="H7" s="15">
        <f>IF(ISNA(VLOOKUP($F5,Stats,11,FALSE)),"",VLOOKUP($F5,Stats,11,FALSE))</f>
      </c>
      <c r="I7" s="15">
        <f>IF(ISNA(VLOOKUP($F5,Stats,12,FALSE)),"",VLOOKUP($F5,Stats,12,FALSE))</f>
      </c>
      <c r="J7" s="343"/>
      <c r="K7" s="343"/>
      <c r="L7" s="343"/>
      <c r="M7" s="344"/>
      <c r="N7" s="345"/>
      <c r="O7" s="13">
        <f t="shared" si="0"/>
        <v>0</v>
      </c>
    </row>
    <row r="8" spans="1:15" ht="16.5" customHeight="1">
      <c r="A8" s="11"/>
      <c r="B8" s="10"/>
      <c r="C8" s="10"/>
      <c r="D8" s="10"/>
      <c r="E8" s="10"/>
      <c r="F8" s="10"/>
      <c r="G8" s="10"/>
      <c r="H8" s="10"/>
      <c r="I8" s="12"/>
      <c r="J8" s="227"/>
      <c r="K8" s="228"/>
      <c r="L8" s="229"/>
      <c r="M8" s="361"/>
      <c r="N8" s="362"/>
      <c r="O8" s="13">
        <f t="shared" si="0"/>
        <v>0</v>
      </c>
    </row>
    <row r="9" spans="1:15" ht="16.5" customHeight="1" thickBot="1">
      <c r="A9" s="240" t="s">
        <v>31</v>
      </c>
      <c r="B9" s="352"/>
      <c r="C9" s="352"/>
      <c r="D9" s="43" t="str">
        <f>IF(M10&lt;&gt;"",VLOOKUP(M10,ArmorSave,2,FALSE),"-")</f>
        <v>-</v>
      </c>
      <c r="E9" s="296" t="s">
        <v>1012</v>
      </c>
      <c r="F9" s="365"/>
      <c r="G9" s="365"/>
      <c r="H9" s="365"/>
      <c r="I9" s="96">
        <f>IF(C5,SUM(F11/C5)+(I11*2),0)</f>
        <v>0</v>
      </c>
      <c r="J9" s="342"/>
      <c r="K9" s="342"/>
      <c r="L9" s="342"/>
      <c r="M9" s="344"/>
      <c r="N9" s="345"/>
      <c r="O9" s="13">
        <f t="shared" si="0"/>
        <v>0</v>
      </c>
    </row>
    <row r="10" spans="1:15" ht="16.5" customHeight="1">
      <c r="A10" s="346"/>
      <c r="B10" s="347"/>
      <c r="C10" s="347"/>
      <c r="D10" s="347"/>
      <c r="E10" s="348"/>
      <c r="F10" s="348"/>
      <c r="G10" s="348"/>
      <c r="H10" s="348"/>
      <c r="I10" s="348"/>
      <c r="J10" s="349"/>
      <c r="K10" s="349"/>
      <c r="L10" s="349"/>
      <c r="M10" s="350"/>
      <c r="N10" s="351"/>
      <c r="O10" s="47">
        <f t="shared" si="0"/>
        <v>0</v>
      </c>
    </row>
    <row r="11" spans="1:16" ht="16.5" customHeight="1" thickBot="1">
      <c r="A11" s="338" t="s">
        <v>28</v>
      </c>
      <c r="B11" s="338"/>
      <c r="C11" s="43">
        <f>IF(ISNA(VLOOKUP($F5,Stats,3,FALSE)),"",VLOOKUP($F5,Stats,3,FALSE))</f>
      </c>
      <c r="D11" s="338" t="s">
        <v>29</v>
      </c>
      <c r="E11" s="339"/>
      <c r="F11" s="43">
        <f>IF(ISNUMBER(C11),SUM(O5+O6+O7+O9+O10+C11)*C5,0)</f>
        <v>0</v>
      </c>
      <c r="G11" s="358" t="s">
        <v>526</v>
      </c>
      <c r="H11" s="359"/>
      <c r="I11" s="43">
        <f>IF(C5&gt;0,SUM(L11+O11),0)</f>
        <v>0</v>
      </c>
      <c r="J11" s="338" t="s">
        <v>681</v>
      </c>
      <c r="K11" s="339"/>
      <c r="L11" s="49"/>
      <c r="M11" s="239" t="s">
        <v>534</v>
      </c>
      <c r="N11" s="239"/>
      <c r="O11" s="8"/>
      <c r="P11" s="51"/>
    </row>
    <row r="12" ht="15.75" thickBot="1"/>
    <row r="13" spans="1:15" ht="16.5" customHeight="1">
      <c r="A13" s="271" t="s">
        <v>25</v>
      </c>
      <c r="B13" s="330"/>
      <c r="C13" s="300"/>
      <c r="D13" s="300"/>
      <c r="E13" s="300"/>
      <c r="F13" s="300"/>
      <c r="G13" s="300"/>
      <c r="H13" s="300"/>
      <c r="I13" s="357"/>
      <c r="J13" s="340" t="s">
        <v>794</v>
      </c>
      <c r="K13" s="330"/>
      <c r="L13" s="341"/>
      <c r="M13" s="363" t="s">
        <v>17</v>
      </c>
      <c r="N13" s="364"/>
      <c r="O13" s="73" t="s">
        <v>30</v>
      </c>
    </row>
    <row r="14" spans="1:15" ht="16.5" customHeight="1">
      <c r="A14" s="240" t="s">
        <v>26</v>
      </c>
      <c r="B14" s="241"/>
      <c r="C14" s="9"/>
      <c r="D14" s="353" t="s">
        <v>27</v>
      </c>
      <c r="E14" s="354"/>
      <c r="F14" s="355"/>
      <c r="G14" s="356"/>
      <c r="H14" s="356"/>
      <c r="I14" s="356"/>
      <c r="J14" s="288">
        <f>SUBSTITUTE(IF(ISNA(VLOOKUP($F14,Stats,13,FALSE)),"",VLOOKUP($F14,Stats,13,FALSE)),0,"")</f>
      </c>
      <c r="K14" s="289"/>
      <c r="L14" s="290"/>
      <c r="M14" s="344"/>
      <c r="N14" s="345"/>
      <c r="O14" s="13">
        <f aca="true" t="shared" si="1" ref="O14:O19">IF(ISNA(VLOOKUP(M14,MasterItems,2,FALSE)),0,VLOOKUP(M14,MasterItems,2,FALSE))</f>
        <v>0</v>
      </c>
    </row>
    <row r="15" spans="1:15" s="3" customFormat="1" ht="16.5" customHeight="1">
      <c r="A15" s="4" t="s">
        <v>7</v>
      </c>
      <c r="B15" s="5" t="s">
        <v>8</v>
      </c>
      <c r="C15" s="5" t="s">
        <v>9</v>
      </c>
      <c r="D15" s="5" t="s">
        <v>10</v>
      </c>
      <c r="E15" s="5" t="s">
        <v>11</v>
      </c>
      <c r="F15" s="5" t="s">
        <v>12</v>
      </c>
      <c r="G15" s="5" t="s">
        <v>13</v>
      </c>
      <c r="H15" s="5" t="s">
        <v>14</v>
      </c>
      <c r="I15" s="6" t="s">
        <v>15</v>
      </c>
      <c r="J15" s="342"/>
      <c r="K15" s="343"/>
      <c r="L15" s="343"/>
      <c r="M15" s="344"/>
      <c r="N15" s="345"/>
      <c r="O15" s="13">
        <f t="shared" si="1"/>
        <v>0</v>
      </c>
    </row>
    <row r="16" spans="1:15" ht="16.5" customHeight="1">
      <c r="A16" s="15">
        <f>IF(ISNA(VLOOKUP($F14,Stats,4,FALSE)),"",VLOOKUP($F14,Stats,4,FALSE))</f>
      </c>
      <c r="B16" s="15">
        <f>IF(ISNA(VLOOKUP($F14,Stats,5,FALSE)),"",VLOOKUP($F14,Stats,5,FALSE))</f>
      </c>
      <c r="C16" s="15">
        <f>IF(ISNA(VLOOKUP($F14,Stats,6,FALSE)),"",VLOOKUP($F14,Stats,6,FALSE))</f>
      </c>
      <c r="D16" s="15">
        <f>IF(ISNA(VLOOKUP($F14,Stats,7,FALSE)),"",VLOOKUP($F14,Stats,7,FALSE))</f>
      </c>
      <c r="E16" s="15">
        <f>IF(ISNA(VLOOKUP($F14,Stats,8,FALSE)),"",VLOOKUP($F14,Stats,8,FALSE))</f>
      </c>
      <c r="F16" s="15">
        <f>IF(ISNA(VLOOKUP($F14,Stats,9,FALSE)),"",VLOOKUP($F14,Stats,9,FALSE))</f>
      </c>
      <c r="G16" s="15">
        <f>IF(ISNA(VLOOKUP($F14,Stats,10,FALSE)),"",VLOOKUP($F14,Stats,10,FALSE))</f>
      </c>
      <c r="H16" s="15">
        <f>IF(ISNA(VLOOKUP($F14,Stats,11,FALSE)),"",VLOOKUP($F14,Stats,11,FALSE))</f>
      </c>
      <c r="I16" s="15">
        <f>IF(ISNA(VLOOKUP($F14,Stats,12,FALSE)),"",VLOOKUP($F14,Stats,12,FALSE))</f>
      </c>
      <c r="J16" s="343"/>
      <c r="K16" s="343"/>
      <c r="L16" s="343"/>
      <c r="M16" s="344"/>
      <c r="N16" s="345"/>
      <c r="O16" s="13">
        <f t="shared" si="1"/>
        <v>0</v>
      </c>
    </row>
    <row r="17" spans="1:15" ht="16.5" customHeight="1">
      <c r="A17" s="11"/>
      <c r="B17" s="10"/>
      <c r="C17" s="10"/>
      <c r="D17" s="10"/>
      <c r="E17" s="10"/>
      <c r="F17" s="10"/>
      <c r="G17" s="10"/>
      <c r="H17" s="10"/>
      <c r="I17" s="12"/>
      <c r="J17" s="227"/>
      <c r="K17" s="228"/>
      <c r="L17" s="229"/>
      <c r="M17" s="361"/>
      <c r="N17" s="362"/>
      <c r="O17" s="13">
        <f t="shared" si="1"/>
        <v>0</v>
      </c>
    </row>
    <row r="18" spans="1:15" ht="16.5" customHeight="1" thickBot="1">
      <c r="A18" s="240" t="s">
        <v>31</v>
      </c>
      <c r="B18" s="352"/>
      <c r="C18" s="352"/>
      <c r="D18" s="43" t="str">
        <f>IF(M19&lt;&gt;"",VLOOKUP(M19,ArmorSave,2,FALSE),"-")</f>
        <v>-</v>
      </c>
      <c r="E18" s="296" t="s">
        <v>1012</v>
      </c>
      <c r="F18" s="365"/>
      <c r="G18" s="365"/>
      <c r="H18" s="365"/>
      <c r="I18" s="96">
        <f>IF(C14,SUM(F20/C14)+(I20*2),0)</f>
        <v>0</v>
      </c>
      <c r="J18" s="342"/>
      <c r="K18" s="342"/>
      <c r="L18" s="342"/>
      <c r="M18" s="344"/>
      <c r="N18" s="345"/>
      <c r="O18" s="13">
        <f t="shared" si="1"/>
        <v>0</v>
      </c>
    </row>
    <row r="19" spans="1:15" ht="16.5" customHeight="1">
      <c r="A19" s="346"/>
      <c r="B19" s="347"/>
      <c r="C19" s="347"/>
      <c r="D19" s="347"/>
      <c r="E19" s="347"/>
      <c r="F19" s="348"/>
      <c r="G19" s="348"/>
      <c r="H19" s="348"/>
      <c r="I19" s="348"/>
      <c r="J19" s="349"/>
      <c r="K19" s="349"/>
      <c r="L19" s="349"/>
      <c r="M19" s="350"/>
      <c r="N19" s="351"/>
      <c r="O19" s="47">
        <f t="shared" si="1"/>
        <v>0</v>
      </c>
    </row>
    <row r="20" spans="1:16" ht="16.5" customHeight="1" thickBot="1">
      <c r="A20" s="338" t="s">
        <v>28</v>
      </c>
      <c r="B20" s="338"/>
      <c r="C20" s="43">
        <f>IF(ISNA(VLOOKUP($F14,Stats,3,FALSE)),"",VLOOKUP($F14,Stats,3,FALSE))</f>
      </c>
      <c r="D20" s="338" t="s">
        <v>29</v>
      </c>
      <c r="E20" s="339"/>
      <c r="F20" s="43">
        <f>IF(ISNUMBER(C20),SUM(O14+O15+O16+O18+O19+C20)*C14,0)</f>
        <v>0</v>
      </c>
      <c r="G20" s="358" t="s">
        <v>526</v>
      </c>
      <c r="H20" s="359"/>
      <c r="I20" s="48">
        <f>IF(C14&gt;0,SUM(L20+O20),0)</f>
        <v>0</v>
      </c>
      <c r="J20" s="338" t="s">
        <v>681</v>
      </c>
      <c r="K20" s="339"/>
      <c r="L20" s="49"/>
      <c r="M20" s="239" t="s">
        <v>534</v>
      </c>
      <c r="N20" s="239"/>
      <c r="O20" s="8"/>
      <c r="P20" s="51"/>
    </row>
    <row r="21" ht="15.75" thickBot="1"/>
    <row r="22" spans="1:15" ht="16.5" customHeight="1">
      <c r="A22" s="271" t="s">
        <v>25</v>
      </c>
      <c r="B22" s="330"/>
      <c r="C22" s="300"/>
      <c r="D22" s="300"/>
      <c r="E22" s="300"/>
      <c r="F22" s="300"/>
      <c r="G22" s="300"/>
      <c r="H22" s="300"/>
      <c r="I22" s="357"/>
      <c r="J22" s="340" t="s">
        <v>794</v>
      </c>
      <c r="K22" s="330"/>
      <c r="L22" s="341"/>
      <c r="M22" s="363" t="s">
        <v>17</v>
      </c>
      <c r="N22" s="364"/>
      <c r="O22" s="73" t="s">
        <v>30</v>
      </c>
    </row>
    <row r="23" spans="1:15" ht="16.5" customHeight="1">
      <c r="A23" s="240" t="s">
        <v>26</v>
      </c>
      <c r="B23" s="241"/>
      <c r="C23" s="9"/>
      <c r="D23" s="353" t="s">
        <v>27</v>
      </c>
      <c r="E23" s="354"/>
      <c r="F23" s="355"/>
      <c r="G23" s="356"/>
      <c r="H23" s="356"/>
      <c r="I23" s="356"/>
      <c r="J23" s="288">
        <f>SUBSTITUTE(IF(ISNA(VLOOKUP($F23,Stats,13,FALSE)),"",VLOOKUP($F23,Stats,13,FALSE)),0,"")</f>
      </c>
      <c r="K23" s="289"/>
      <c r="L23" s="290"/>
      <c r="M23" s="344"/>
      <c r="N23" s="345"/>
      <c r="O23" s="13">
        <f aca="true" t="shared" si="2" ref="O23:O28">IF(ISNA(VLOOKUP(M23,MasterItems,2,FALSE)),0,VLOOKUP(M23,MasterItems,2,FALSE))</f>
        <v>0</v>
      </c>
    </row>
    <row r="24" spans="1:15" s="3" customFormat="1" ht="16.5" customHeight="1">
      <c r="A24" s="4" t="s">
        <v>7</v>
      </c>
      <c r="B24" s="5" t="s">
        <v>8</v>
      </c>
      <c r="C24" s="5" t="s">
        <v>9</v>
      </c>
      <c r="D24" s="5" t="s">
        <v>10</v>
      </c>
      <c r="E24" s="5" t="s">
        <v>11</v>
      </c>
      <c r="F24" s="5" t="s">
        <v>12</v>
      </c>
      <c r="G24" s="5" t="s">
        <v>13</v>
      </c>
      <c r="H24" s="5" t="s">
        <v>14</v>
      </c>
      <c r="I24" s="6" t="s">
        <v>15</v>
      </c>
      <c r="J24" s="342"/>
      <c r="K24" s="343"/>
      <c r="L24" s="343"/>
      <c r="M24" s="344"/>
      <c r="N24" s="345"/>
      <c r="O24" s="13">
        <f t="shared" si="2"/>
        <v>0</v>
      </c>
    </row>
    <row r="25" spans="1:15" ht="16.5" customHeight="1">
      <c r="A25" s="15">
        <f>IF(ISNA(VLOOKUP($F23,Stats,4,FALSE)),"",VLOOKUP($F23,Stats,4,FALSE))</f>
      </c>
      <c r="B25" s="15">
        <f>IF(ISNA(VLOOKUP($F23,Stats,5,FALSE)),"",VLOOKUP($F23,Stats,5,FALSE))</f>
      </c>
      <c r="C25" s="15">
        <f>IF(ISNA(VLOOKUP($F23,Stats,6,FALSE)),"",VLOOKUP($F23,Stats,6,FALSE))</f>
      </c>
      <c r="D25" s="15">
        <f>IF(ISNA(VLOOKUP($F23,Stats,7,FALSE)),"",VLOOKUP($F23,Stats,7,FALSE))</f>
      </c>
      <c r="E25" s="15">
        <f>IF(ISNA(VLOOKUP($F23,Stats,8,FALSE)),"",VLOOKUP($F23,Stats,8,FALSE))</f>
      </c>
      <c r="F25" s="15">
        <f>IF(ISNA(VLOOKUP($F23,Stats,9,FALSE)),"",VLOOKUP($F23,Stats,9,FALSE))</f>
      </c>
      <c r="G25" s="15">
        <f>IF(ISNA(VLOOKUP($F23,Stats,10,FALSE)),"",VLOOKUP($F23,Stats,10,FALSE))</f>
      </c>
      <c r="H25" s="15">
        <f>IF(ISNA(VLOOKUP($F23,Stats,11,FALSE)),"",VLOOKUP($F23,Stats,11,FALSE))</f>
      </c>
      <c r="I25" s="15">
        <f>IF(ISNA(VLOOKUP($F23,Stats,12,FALSE)),"",VLOOKUP($F23,Stats,12,FALSE))</f>
      </c>
      <c r="J25" s="343"/>
      <c r="K25" s="343"/>
      <c r="L25" s="343"/>
      <c r="M25" s="344"/>
      <c r="N25" s="345"/>
      <c r="O25" s="13">
        <f t="shared" si="2"/>
        <v>0</v>
      </c>
    </row>
    <row r="26" spans="1:15" ht="16.5" customHeight="1">
      <c r="A26" s="11"/>
      <c r="B26" s="10"/>
      <c r="C26" s="10"/>
      <c r="D26" s="10"/>
      <c r="E26" s="10"/>
      <c r="F26" s="10"/>
      <c r="G26" s="10"/>
      <c r="H26" s="10"/>
      <c r="I26" s="12"/>
      <c r="J26" s="227"/>
      <c r="K26" s="228"/>
      <c r="L26" s="229"/>
      <c r="M26" s="361"/>
      <c r="N26" s="362"/>
      <c r="O26" s="13">
        <f t="shared" si="2"/>
        <v>0</v>
      </c>
    </row>
    <row r="27" spans="1:15" ht="16.5" customHeight="1" thickBot="1">
      <c r="A27" s="240" t="s">
        <v>31</v>
      </c>
      <c r="B27" s="352"/>
      <c r="C27" s="352"/>
      <c r="D27" s="43" t="str">
        <f>IF(M28&lt;&gt;"",VLOOKUP(M28,ArmorSave,2,FALSE),"-")</f>
        <v>-</v>
      </c>
      <c r="E27" s="296" t="s">
        <v>1012</v>
      </c>
      <c r="F27" s="365"/>
      <c r="G27" s="365"/>
      <c r="H27" s="365"/>
      <c r="I27" s="96">
        <f>IF(C23,SUM(F29/C23)+(I29*2),0)</f>
        <v>0</v>
      </c>
      <c r="J27" s="342"/>
      <c r="K27" s="342"/>
      <c r="L27" s="342"/>
      <c r="M27" s="344"/>
      <c r="N27" s="345"/>
      <c r="O27" s="13">
        <f t="shared" si="2"/>
        <v>0</v>
      </c>
    </row>
    <row r="28" spans="1:15" ht="16.5" customHeight="1">
      <c r="A28" s="346"/>
      <c r="B28" s="347"/>
      <c r="C28" s="347"/>
      <c r="D28" s="347"/>
      <c r="E28" s="347"/>
      <c r="F28" s="348"/>
      <c r="G28" s="348"/>
      <c r="H28" s="348"/>
      <c r="I28" s="348"/>
      <c r="J28" s="349"/>
      <c r="K28" s="349"/>
      <c r="L28" s="349"/>
      <c r="M28" s="350"/>
      <c r="N28" s="351"/>
      <c r="O28" s="47">
        <f t="shared" si="2"/>
        <v>0</v>
      </c>
    </row>
    <row r="29" spans="1:16" ht="16.5" customHeight="1" thickBot="1">
      <c r="A29" s="338" t="s">
        <v>28</v>
      </c>
      <c r="B29" s="338"/>
      <c r="C29" s="43">
        <f>IF(ISNA(VLOOKUP($F23,Stats,3,FALSE)),"",VLOOKUP($F23,Stats,3,FALSE))</f>
      </c>
      <c r="D29" s="338" t="s">
        <v>29</v>
      </c>
      <c r="E29" s="339"/>
      <c r="F29" s="43">
        <f>IF(ISNUMBER(C29),SUM(O23+O24+O25+O27+O28+C29)*C23,0)</f>
        <v>0</v>
      </c>
      <c r="G29" s="358" t="s">
        <v>526</v>
      </c>
      <c r="H29" s="359"/>
      <c r="I29" s="48">
        <f>IF(C23&gt;0,SUM(L29+O29),0)</f>
        <v>0</v>
      </c>
      <c r="J29" s="338" t="s">
        <v>681</v>
      </c>
      <c r="K29" s="339"/>
      <c r="L29" s="49"/>
      <c r="M29" s="239" t="s">
        <v>534</v>
      </c>
      <c r="N29" s="239"/>
      <c r="O29" s="8"/>
      <c r="P29" s="51"/>
    </row>
    <row r="30" ht="15.75" thickBot="1"/>
    <row r="31" spans="1:15" ht="16.5" customHeight="1">
      <c r="A31" s="271" t="s">
        <v>25</v>
      </c>
      <c r="B31" s="330"/>
      <c r="C31" s="300"/>
      <c r="D31" s="300"/>
      <c r="E31" s="300"/>
      <c r="F31" s="300"/>
      <c r="G31" s="300"/>
      <c r="H31" s="300"/>
      <c r="I31" s="357"/>
      <c r="J31" s="340" t="s">
        <v>794</v>
      </c>
      <c r="K31" s="330"/>
      <c r="L31" s="341"/>
      <c r="M31" s="363" t="s">
        <v>17</v>
      </c>
      <c r="N31" s="364"/>
      <c r="O31" s="73" t="s">
        <v>30</v>
      </c>
    </row>
    <row r="32" spans="1:15" ht="16.5" customHeight="1">
      <c r="A32" s="240" t="s">
        <v>26</v>
      </c>
      <c r="B32" s="241"/>
      <c r="C32" s="9"/>
      <c r="D32" s="353" t="s">
        <v>27</v>
      </c>
      <c r="E32" s="354"/>
      <c r="F32" s="355"/>
      <c r="G32" s="356"/>
      <c r="H32" s="356"/>
      <c r="I32" s="356"/>
      <c r="J32" s="288">
        <f>SUBSTITUTE(IF(ISNA(VLOOKUP($F32,Stats,13,FALSE)),"",VLOOKUP($F32,Stats,13,FALSE)),0,"")</f>
      </c>
      <c r="K32" s="289"/>
      <c r="L32" s="290"/>
      <c r="M32" s="344"/>
      <c r="N32" s="345"/>
      <c r="O32" s="13">
        <f aca="true" t="shared" si="3" ref="O32:O37">IF(ISNA(VLOOKUP(M32,MasterItems,2,FALSE)),0,VLOOKUP(M32,MasterItems,2,FALSE))</f>
        <v>0</v>
      </c>
    </row>
    <row r="33" spans="1:15" s="3" customFormat="1" ht="16.5" customHeight="1">
      <c r="A33" s="4" t="s">
        <v>7</v>
      </c>
      <c r="B33" s="5" t="s">
        <v>8</v>
      </c>
      <c r="C33" s="5" t="s">
        <v>9</v>
      </c>
      <c r="D33" s="5" t="s">
        <v>10</v>
      </c>
      <c r="E33" s="5" t="s">
        <v>11</v>
      </c>
      <c r="F33" s="5" t="s">
        <v>12</v>
      </c>
      <c r="G33" s="5" t="s">
        <v>13</v>
      </c>
      <c r="H33" s="5" t="s">
        <v>14</v>
      </c>
      <c r="I33" s="6" t="s">
        <v>15</v>
      </c>
      <c r="J33" s="342"/>
      <c r="K33" s="343"/>
      <c r="L33" s="343"/>
      <c r="M33" s="344"/>
      <c r="N33" s="345"/>
      <c r="O33" s="13">
        <f t="shared" si="3"/>
        <v>0</v>
      </c>
    </row>
    <row r="34" spans="1:15" ht="16.5" customHeight="1">
      <c r="A34" s="15">
        <f>IF(ISNA(VLOOKUP($F32,Stats,4,FALSE)),"",VLOOKUP($F32,Stats,4,FALSE))</f>
      </c>
      <c r="B34" s="15">
        <f>IF(ISNA(VLOOKUP($F32,Stats,5,FALSE)),"",VLOOKUP($F32,Stats,5,FALSE))</f>
      </c>
      <c r="C34" s="15">
        <f>IF(ISNA(VLOOKUP($F32,Stats,6,FALSE)),"",VLOOKUP($F32,Stats,6,FALSE))</f>
      </c>
      <c r="D34" s="15">
        <f>IF(ISNA(VLOOKUP($F32,Stats,7,FALSE)),"",VLOOKUP($F32,Stats,7,FALSE))</f>
      </c>
      <c r="E34" s="15">
        <f>IF(ISNA(VLOOKUP($F32,Stats,8,FALSE)),"",VLOOKUP($F32,Stats,8,FALSE))</f>
      </c>
      <c r="F34" s="15">
        <f>IF(ISNA(VLOOKUP($F32,Stats,9,FALSE)),"",VLOOKUP($F32,Stats,9,FALSE))</f>
      </c>
      <c r="G34" s="15">
        <f>IF(ISNA(VLOOKUP($F32,Stats,10,FALSE)),"",VLOOKUP($F32,Stats,10,FALSE))</f>
      </c>
      <c r="H34" s="15">
        <f>IF(ISNA(VLOOKUP($F32,Stats,11,FALSE)),"",VLOOKUP($F32,Stats,11,FALSE))</f>
      </c>
      <c r="I34" s="15">
        <f>IF(ISNA(VLOOKUP($F32,Stats,12,FALSE)),"",VLOOKUP($F32,Stats,12,FALSE))</f>
      </c>
      <c r="J34" s="343"/>
      <c r="K34" s="343"/>
      <c r="L34" s="343"/>
      <c r="M34" s="344"/>
      <c r="N34" s="345"/>
      <c r="O34" s="13">
        <f t="shared" si="3"/>
        <v>0</v>
      </c>
    </row>
    <row r="35" spans="1:15" ht="16.5" customHeight="1">
      <c r="A35" s="11"/>
      <c r="B35" s="10"/>
      <c r="C35" s="10"/>
      <c r="D35" s="10"/>
      <c r="E35" s="10"/>
      <c r="F35" s="10"/>
      <c r="G35" s="10"/>
      <c r="H35" s="10"/>
      <c r="I35" s="12"/>
      <c r="J35" s="227"/>
      <c r="K35" s="228"/>
      <c r="L35" s="229"/>
      <c r="M35" s="361"/>
      <c r="N35" s="362"/>
      <c r="O35" s="13">
        <f t="shared" si="3"/>
        <v>0</v>
      </c>
    </row>
    <row r="36" spans="1:15" ht="16.5" customHeight="1" thickBot="1">
      <c r="A36" s="240" t="s">
        <v>31</v>
      </c>
      <c r="B36" s="352"/>
      <c r="C36" s="352"/>
      <c r="D36" s="43" t="str">
        <f>IF(M37&lt;&gt;"",VLOOKUP(M37,ArmorSave,2,FALSE),"-")</f>
        <v>-</v>
      </c>
      <c r="E36" s="296" t="s">
        <v>1012</v>
      </c>
      <c r="F36" s="365"/>
      <c r="G36" s="365"/>
      <c r="H36" s="365"/>
      <c r="I36" s="96">
        <f>IF(C32,SUM(F38/C32)+(I38*2),0)</f>
        <v>0</v>
      </c>
      <c r="J36" s="342"/>
      <c r="K36" s="342"/>
      <c r="L36" s="342"/>
      <c r="M36" s="344"/>
      <c r="N36" s="345"/>
      <c r="O36" s="13">
        <f t="shared" si="3"/>
        <v>0</v>
      </c>
    </row>
    <row r="37" spans="1:15" ht="16.5" customHeight="1">
      <c r="A37" s="346"/>
      <c r="B37" s="347"/>
      <c r="C37" s="347"/>
      <c r="D37" s="347"/>
      <c r="E37" s="347"/>
      <c r="F37" s="348"/>
      <c r="G37" s="348"/>
      <c r="H37" s="348"/>
      <c r="I37" s="348"/>
      <c r="J37" s="349"/>
      <c r="K37" s="349"/>
      <c r="L37" s="349"/>
      <c r="M37" s="350"/>
      <c r="N37" s="351"/>
      <c r="O37" s="47">
        <f t="shared" si="3"/>
        <v>0</v>
      </c>
    </row>
    <row r="38" spans="1:16" ht="16.5" customHeight="1" thickBot="1">
      <c r="A38" s="338" t="s">
        <v>28</v>
      </c>
      <c r="B38" s="338"/>
      <c r="C38" s="43">
        <f>IF(ISNA(VLOOKUP($F32,Stats,3,FALSE)),"",VLOOKUP($F32,Stats,3,FALSE))</f>
      </c>
      <c r="D38" s="338" t="s">
        <v>29</v>
      </c>
      <c r="E38" s="339"/>
      <c r="F38" s="43">
        <f>IF(ISNUMBER(C38),SUM(O32+O33+O34+O36+O37+C38)*C32,0)</f>
        <v>0</v>
      </c>
      <c r="G38" s="358" t="s">
        <v>526</v>
      </c>
      <c r="H38" s="359"/>
      <c r="I38" s="48">
        <f>IF(C32&gt;0,SUM(L38+O38),0)</f>
        <v>0</v>
      </c>
      <c r="J38" s="338" t="s">
        <v>681</v>
      </c>
      <c r="K38" s="339"/>
      <c r="L38" s="49"/>
      <c r="M38" s="239" t="s">
        <v>534</v>
      </c>
      <c r="N38" s="239"/>
      <c r="O38" s="8"/>
      <c r="P38" s="51"/>
    </row>
    <row r="39" ht="15.75" thickBot="1"/>
    <row r="40" spans="1:15" ht="16.5" customHeight="1">
      <c r="A40" s="271" t="s">
        <v>25</v>
      </c>
      <c r="B40" s="330"/>
      <c r="C40" s="300"/>
      <c r="D40" s="300"/>
      <c r="E40" s="300"/>
      <c r="F40" s="300"/>
      <c r="G40" s="300"/>
      <c r="H40" s="300"/>
      <c r="I40" s="357"/>
      <c r="J40" s="340" t="s">
        <v>794</v>
      </c>
      <c r="K40" s="330"/>
      <c r="L40" s="341"/>
      <c r="M40" s="363" t="s">
        <v>17</v>
      </c>
      <c r="N40" s="364"/>
      <c r="O40" s="73" t="s">
        <v>30</v>
      </c>
    </row>
    <row r="41" spans="1:15" ht="16.5" customHeight="1">
      <c r="A41" s="240" t="s">
        <v>26</v>
      </c>
      <c r="B41" s="241"/>
      <c r="C41" s="9"/>
      <c r="D41" s="353" t="s">
        <v>27</v>
      </c>
      <c r="E41" s="354"/>
      <c r="F41" s="355"/>
      <c r="G41" s="356"/>
      <c r="H41" s="356"/>
      <c r="I41" s="356"/>
      <c r="J41" s="288">
        <f>SUBSTITUTE(IF(ISNA(VLOOKUP($F41,Stats,13,FALSE)),"",VLOOKUP($F41,Stats,13,FALSE)),0,"")</f>
      </c>
      <c r="K41" s="289"/>
      <c r="L41" s="290"/>
      <c r="M41" s="344"/>
      <c r="N41" s="345"/>
      <c r="O41" s="13">
        <f aca="true" t="shared" si="4" ref="O41:O46">IF(ISNA(VLOOKUP(M41,MasterItems,2,FALSE)),0,VLOOKUP(M41,MasterItems,2,FALSE))</f>
        <v>0</v>
      </c>
    </row>
    <row r="42" spans="1:15" s="3" customFormat="1" ht="16.5" customHeight="1">
      <c r="A42" s="4" t="s">
        <v>7</v>
      </c>
      <c r="B42" s="5" t="s">
        <v>8</v>
      </c>
      <c r="C42" s="5" t="s">
        <v>9</v>
      </c>
      <c r="D42" s="5" t="s">
        <v>10</v>
      </c>
      <c r="E42" s="5" t="s">
        <v>11</v>
      </c>
      <c r="F42" s="5" t="s">
        <v>12</v>
      </c>
      <c r="G42" s="5" t="s">
        <v>13</v>
      </c>
      <c r="H42" s="5" t="s">
        <v>14</v>
      </c>
      <c r="I42" s="6" t="s">
        <v>15</v>
      </c>
      <c r="J42" s="342"/>
      <c r="K42" s="343"/>
      <c r="L42" s="343"/>
      <c r="M42" s="344"/>
      <c r="N42" s="345"/>
      <c r="O42" s="13">
        <f t="shared" si="4"/>
        <v>0</v>
      </c>
    </row>
    <row r="43" spans="1:15" ht="16.5" customHeight="1">
      <c r="A43" s="15">
        <f>IF(ISNA(VLOOKUP($F41,Stats,4,FALSE)),"",VLOOKUP($F41,Stats,4,FALSE))</f>
      </c>
      <c r="B43" s="15">
        <f>IF(ISNA(VLOOKUP($F41,Stats,5,FALSE)),"",VLOOKUP($F41,Stats,5,FALSE))</f>
      </c>
      <c r="C43" s="15">
        <f>IF(ISNA(VLOOKUP($F41,Stats,6,FALSE)),"",VLOOKUP($F41,Stats,6,FALSE))</f>
      </c>
      <c r="D43" s="15">
        <f>IF(ISNA(VLOOKUP($F41,Stats,7,FALSE)),"",VLOOKUP($F41,Stats,7,FALSE))</f>
      </c>
      <c r="E43" s="15">
        <f>IF(ISNA(VLOOKUP($F41,Stats,8,FALSE)),"",VLOOKUP($F41,Stats,8,FALSE))</f>
      </c>
      <c r="F43" s="15">
        <f>IF(ISNA(VLOOKUP($F41,Stats,9,FALSE)),"",VLOOKUP($F41,Stats,9,FALSE))</f>
      </c>
      <c r="G43" s="15">
        <f>IF(ISNA(VLOOKUP($F41,Stats,10,FALSE)),"",VLOOKUP($F41,Stats,10,FALSE))</f>
      </c>
      <c r="H43" s="15">
        <f>IF(ISNA(VLOOKUP($F41,Stats,11,FALSE)),"",VLOOKUP($F41,Stats,11,FALSE))</f>
      </c>
      <c r="I43" s="15">
        <f>IF(ISNA(VLOOKUP($F41,Stats,12,FALSE)),"",VLOOKUP($F41,Stats,12,FALSE))</f>
      </c>
      <c r="J43" s="343"/>
      <c r="K43" s="343"/>
      <c r="L43" s="343"/>
      <c r="M43" s="344"/>
      <c r="N43" s="345"/>
      <c r="O43" s="13">
        <f t="shared" si="4"/>
        <v>0</v>
      </c>
    </row>
    <row r="44" spans="1:15" ht="16.5" customHeight="1">
      <c r="A44" s="11"/>
      <c r="B44" s="10"/>
      <c r="C44" s="10"/>
      <c r="D44" s="10"/>
      <c r="E44" s="10"/>
      <c r="F44" s="10"/>
      <c r="G44" s="10"/>
      <c r="H44" s="10"/>
      <c r="I44" s="12"/>
      <c r="J44" s="227"/>
      <c r="K44" s="228"/>
      <c r="L44" s="229"/>
      <c r="M44" s="361"/>
      <c r="N44" s="362"/>
      <c r="O44" s="13">
        <f t="shared" si="4"/>
        <v>0</v>
      </c>
    </row>
    <row r="45" spans="1:15" ht="16.5" customHeight="1" thickBot="1">
      <c r="A45" s="240" t="s">
        <v>31</v>
      </c>
      <c r="B45" s="352"/>
      <c r="C45" s="352"/>
      <c r="D45" s="43" t="str">
        <f>IF(M46&lt;&gt;"",VLOOKUP(M46,ArmorSave,2,FALSE),"-")</f>
        <v>-</v>
      </c>
      <c r="E45" s="296" t="s">
        <v>1012</v>
      </c>
      <c r="F45" s="365"/>
      <c r="G45" s="365"/>
      <c r="H45" s="365"/>
      <c r="I45" s="96">
        <f>IF(C41,SUM(F47/C41)+(I47*2),0)</f>
        <v>0</v>
      </c>
      <c r="J45" s="342"/>
      <c r="K45" s="342"/>
      <c r="L45" s="342"/>
      <c r="M45" s="344"/>
      <c r="N45" s="345"/>
      <c r="O45" s="13">
        <f t="shared" si="4"/>
        <v>0</v>
      </c>
    </row>
    <row r="46" spans="1:15" ht="16.5" customHeight="1">
      <c r="A46" s="346"/>
      <c r="B46" s="347"/>
      <c r="C46" s="347"/>
      <c r="D46" s="347"/>
      <c r="E46" s="347"/>
      <c r="F46" s="348"/>
      <c r="G46" s="348"/>
      <c r="H46" s="348"/>
      <c r="I46" s="348"/>
      <c r="J46" s="349"/>
      <c r="K46" s="349"/>
      <c r="L46" s="349"/>
      <c r="M46" s="350"/>
      <c r="N46" s="351"/>
      <c r="O46" s="47">
        <f t="shared" si="4"/>
        <v>0</v>
      </c>
    </row>
    <row r="47" spans="1:16" ht="16.5" customHeight="1" thickBot="1">
      <c r="A47" s="338" t="s">
        <v>28</v>
      </c>
      <c r="B47" s="338"/>
      <c r="C47" s="43">
        <f>IF(ISNA(VLOOKUP($F41,Stats,3,FALSE)),"",VLOOKUP($F41,Stats,3,FALSE))</f>
      </c>
      <c r="D47" s="338" t="s">
        <v>29</v>
      </c>
      <c r="E47" s="339"/>
      <c r="F47" s="43">
        <f>IF(ISNUMBER(C47),SUM(O41+O42+O43+O45+O46+C47)*C41,0)</f>
        <v>0</v>
      </c>
      <c r="G47" s="358" t="s">
        <v>526</v>
      </c>
      <c r="H47" s="359"/>
      <c r="I47" s="48">
        <f>IF(C41&gt;0,SUM(L47+O47),0)</f>
        <v>0</v>
      </c>
      <c r="J47" s="338" t="s">
        <v>681</v>
      </c>
      <c r="K47" s="339"/>
      <c r="L47" s="49"/>
      <c r="M47" s="239" t="s">
        <v>534</v>
      </c>
      <c r="N47" s="239"/>
      <c r="O47" s="8"/>
      <c r="P47" s="51"/>
    </row>
  </sheetData>
  <sheetProtection/>
  <mergeCells count="136">
    <mergeCell ref="E18:H18"/>
    <mergeCell ref="E27:H27"/>
    <mergeCell ref="E36:H36"/>
    <mergeCell ref="E45:H45"/>
    <mergeCell ref="F23:I23"/>
    <mergeCell ref="G20:H20"/>
    <mergeCell ref="G47:H47"/>
    <mergeCell ref="M31:N31"/>
    <mergeCell ref="G38:H38"/>
    <mergeCell ref="M40:N40"/>
    <mergeCell ref="J44:L44"/>
    <mergeCell ref="M35:N35"/>
    <mergeCell ref="M44:N44"/>
    <mergeCell ref="J36:L36"/>
    <mergeCell ref="J32:L32"/>
    <mergeCell ref="M32:N32"/>
    <mergeCell ref="M22:N22"/>
    <mergeCell ref="M26:N26"/>
    <mergeCell ref="J27:L27"/>
    <mergeCell ref="M27:N27"/>
    <mergeCell ref="J23:L23"/>
    <mergeCell ref="M24:N24"/>
    <mergeCell ref="M25:N25"/>
    <mergeCell ref="M4:N4"/>
    <mergeCell ref="G11:H11"/>
    <mergeCell ref="M13:N13"/>
    <mergeCell ref="M8:N8"/>
    <mergeCell ref="J8:L8"/>
    <mergeCell ref="E9:H9"/>
    <mergeCell ref="A11:B11"/>
    <mergeCell ref="D11:E11"/>
    <mergeCell ref="J26:L26"/>
    <mergeCell ref="J35:L35"/>
    <mergeCell ref="A28:I28"/>
    <mergeCell ref="A32:B32"/>
    <mergeCell ref="D32:E32"/>
    <mergeCell ref="F32:I32"/>
    <mergeCell ref="A13:B13"/>
    <mergeCell ref="A23:B23"/>
    <mergeCell ref="F14:I14"/>
    <mergeCell ref="J17:L17"/>
    <mergeCell ref="M23:N23"/>
    <mergeCell ref="C13:I13"/>
    <mergeCell ref="D23:E23"/>
    <mergeCell ref="M19:N19"/>
    <mergeCell ref="M16:N16"/>
    <mergeCell ref="D20:E20"/>
    <mergeCell ref="M17:N17"/>
    <mergeCell ref="J16:L16"/>
    <mergeCell ref="M14:N14"/>
    <mergeCell ref="M11:N11"/>
    <mergeCell ref="J14:L14"/>
    <mergeCell ref="J11:K11"/>
    <mergeCell ref="A5:B5"/>
    <mergeCell ref="M20:N20"/>
    <mergeCell ref="J5:L5"/>
    <mergeCell ref="J6:L6"/>
    <mergeCell ref="J18:L18"/>
    <mergeCell ref="M18:N18"/>
    <mergeCell ref="A19:I19"/>
    <mergeCell ref="J19:L19"/>
    <mergeCell ref="M7:N7"/>
    <mergeCell ref="F5:I5"/>
    <mergeCell ref="A1:O3"/>
    <mergeCell ref="A10:I10"/>
    <mergeCell ref="J10:L10"/>
    <mergeCell ref="J7:L7"/>
    <mergeCell ref="J9:L9"/>
    <mergeCell ref="M5:N5"/>
    <mergeCell ref="A4:B4"/>
    <mergeCell ref="D5:E5"/>
    <mergeCell ref="M6:N6"/>
    <mergeCell ref="C4:I4"/>
    <mergeCell ref="M15:N15"/>
    <mergeCell ref="M9:N9"/>
    <mergeCell ref="A22:B22"/>
    <mergeCell ref="C22:I22"/>
    <mergeCell ref="A20:B20"/>
    <mergeCell ref="A9:C9"/>
    <mergeCell ref="A18:C18"/>
    <mergeCell ref="A14:B14"/>
    <mergeCell ref="D14:E14"/>
    <mergeCell ref="M10:N10"/>
    <mergeCell ref="A31:B31"/>
    <mergeCell ref="C31:I31"/>
    <mergeCell ref="D29:E29"/>
    <mergeCell ref="J31:L31"/>
    <mergeCell ref="G29:H29"/>
    <mergeCell ref="A29:B29"/>
    <mergeCell ref="M29:N29"/>
    <mergeCell ref="A27:C27"/>
    <mergeCell ref="J28:L28"/>
    <mergeCell ref="M28:N28"/>
    <mergeCell ref="J33:L33"/>
    <mergeCell ref="M33:N33"/>
    <mergeCell ref="J34:L34"/>
    <mergeCell ref="M34:N34"/>
    <mergeCell ref="A38:B38"/>
    <mergeCell ref="M38:N38"/>
    <mergeCell ref="A40:B40"/>
    <mergeCell ref="C40:I40"/>
    <mergeCell ref="D38:E38"/>
    <mergeCell ref="J38:K38"/>
    <mergeCell ref="J40:L40"/>
    <mergeCell ref="M36:N36"/>
    <mergeCell ref="A37:I37"/>
    <mergeCell ref="J37:L37"/>
    <mergeCell ref="M37:N37"/>
    <mergeCell ref="A36:C36"/>
    <mergeCell ref="M41:N41"/>
    <mergeCell ref="J42:L42"/>
    <mergeCell ref="M42:N42"/>
    <mergeCell ref="J43:L43"/>
    <mergeCell ref="M43:N43"/>
    <mergeCell ref="A41:B41"/>
    <mergeCell ref="D41:E41"/>
    <mergeCell ref="F41:I41"/>
    <mergeCell ref="J41:L41"/>
    <mergeCell ref="A47:B47"/>
    <mergeCell ref="M47:N47"/>
    <mergeCell ref="J45:L45"/>
    <mergeCell ref="M45:N45"/>
    <mergeCell ref="A46:I46"/>
    <mergeCell ref="J46:L46"/>
    <mergeCell ref="M46:N46"/>
    <mergeCell ref="A45:C45"/>
    <mergeCell ref="D47:E47"/>
    <mergeCell ref="J47:K47"/>
    <mergeCell ref="J20:K20"/>
    <mergeCell ref="J29:K29"/>
    <mergeCell ref="J4:L4"/>
    <mergeCell ref="J13:L13"/>
    <mergeCell ref="J22:L22"/>
    <mergeCell ref="J15:L15"/>
    <mergeCell ref="J24:L24"/>
    <mergeCell ref="J25:L25"/>
  </mergeCells>
  <dataValidations count="7">
    <dataValidation type="list" allowBlank="1" showInputMessage="1" showErrorMessage="1" sqref="F5:I5 F32:I32 F14:I14 F23:I23 F41:I41">
      <formula1>INDIRECT(ShortHench)</formula1>
    </dataValidation>
    <dataValidation type="list" allowBlank="1" showInputMessage="1" showErrorMessage="1" sqref="M5:N5 M32:N32 M14:N14 M23:N23 M41:N41">
      <formula1>IF(Creation="Creation",INDIRECT(VLOOKUP($F5,Stats,14,FALSE)),Items)</formula1>
    </dataValidation>
    <dataValidation type="list" allowBlank="1" showInputMessage="1" showErrorMessage="1" sqref="M6:N6 M33:N33 M15:N15 M24:N24 M42:N42">
      <formula1>IF(Creation="Creation",INDIRECT(VLOOKUP($F5,Stats,14,FALSE)),Items)</formula1>
    </dataValidation>
    <dataValidation type="list" allowBlank="1" showInputMessage="1" showErrorMessage="1" sqref="M7:N7 M34:N34 M16:N16 M25:N25 M43:N43">
      <formula1>IF(Creation="Creation",INDIRECT(VLOOKUP($F5,Stats,14,FALSE)),Items)</formula1>
    </dataValidation>
    <dataValidation type="list" allowBlank="1" showInputMessage="1" showErrorMessage="1" sqref="M8:N8 M35:N35 M17:N17 M26:N26 M44:N44">
      <formula1>IF(Creation="Creation",INDIRECT(VLOOKUP($F5,Stats,14,FALSE)),Items)</formula1>
    </dataValidation>
    <dataValidation type="list" allowBlank="1" showInputMessage="1" showErrorMessage="1" sqref="M9:N9 M36:N36 M18:N18 M27:N27 M45:N45">
      <formula1>IF(Creation="Creation",INDIRECT(VLOOKUP($F5,Stats,14,FALSE)),Items)</formula1>
    </dataValidation>
    <dataValidation type="list" allowBlank="1" showInputMessage="1" showErrorMessage="1" sqref="M10:N10 M37:N37 M19:N19 M28:N28 M46:N46">
      <formula1>IF(Creation="Creation",INDIRECT(VLOOKUP($F5,Stats,14,FALSE)),Items)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R138"/>
  <sheetViews>
    <sheetView workbookViewId="0" topLeftCell="A1">
      <selection activeCell="K88" sqref="K88:L88"/>
    </sheetView>
  </sheetViews>
  <sheetFormatPr defaultColWidth="9.140625" defaultRowHeight="12.75"/>
  <cols>
    <col min="1" max="3" width="4.7109375" style="0" customWidth="1"/>
    <col min="4" max="4" width="4.57421875" style="0" customWidth="1"/>
    <col min="5" max="5" width="4.8515625" style="0" customWidth="1"/>
    <col min="6" max="9" width="4.7109375" style="0" customWidth="1"/>
    <col min="13" max="13" width="14.421875" style="0" customWidth="1"/>
    <col min="14" max="14" width="3.421875" style="0" customWidth="1"/>
  </cols>
  <sheetData>
    <row r="1" spans="1:15" ht="12.75" customHeight="1">
      <c r="A1" s="387" t="s">
        <v>684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</row>
    <row r="2" spans="1:15" ht="12.75" customHeight="1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</row>
    <row r="3" spans="1:15" ht="13.5" customHeight="1" thickBot="1">
      <c r="A3" s="388"/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</row>
    <row r="4" spans="1:15" ht="19.5" customHeight="1">
      <c r="A4" s="271" t="s">
        <v>16</v>
      </c>
      <c r="B4" s="330"/>
      <c r="C4" s="300"/>
      <c r="D4" s="300"/>
      <c r="E4" s="300"/>
      <c r="F4" s="300"/>
      <c r="G4" s="300"/>
      <c r="H4" s="300"/>
      <c r="I4" s="300"/>
      <c r="J4" s="68" t="s">
        <v>682</v>
      </c>
      <c r="K4" s="385"/>
      <c r="L4" s="386"/>
      <c r="M4" s="278" t="s">
        <v>17</v>
      </c>
      <c r="N4" s="279"/>
      <c r="O4" s="66" t="s">
        <v>30</v>
      </c>
    </row>
    <row r="5" spans="1:15" ht="19.5" customHeight="1">
      <c r="A5" s="240" t="s">
        <v>24</v>
      </c>
      <c r="B5" s="241"/>
      <c r="C5" s="242"/>
      <c r="D5" s="242"/>
      <c r="E5" s="242"/>
      <c r="F5" s="242"/>
      <c r="G5" s="242"/>
      <c r="H5" s="242"/>
      <c r="I5" s="243"/>
      <c r="J5" s="288">
        <f>SUBSTITUTE(IF(ISNA(VLOOKUP($C5,Stats,13,FALSE)),"",VLOOKUP($C5,Stats,13,FALSE)),0,"")</f>
      </c>
      <c r="K5" s="289"/>
      <c r="L5" s="290"/>
      <c r="M5" s="230"/>
      <c r="N5" s="231"/>
      <c r="O5" s="13">
        <f aca="true" t="shared" si="0" ref="O5:O12">IF(ISNA(VLOOKUP(M5,MasterItems,2,FALSE)),0,VLOOKUP(M5,MasterItems,2,FALSE))</f>
        <v>0</v>
      </c>
    </row>
    <row r="6" spans="1:44" s="3" customFormat="1" ht="19.5" customHeight="1">
      <c r="A6" s="69" t="s">
        <v>7</v>
      </c>
      <c r="B6" s="70" t="s">
        <v>8</v>
      </c>
      <c r="C6" s="70" t="s">
        <v>9</v>
      </c>
      <c r="D6" s="70" t="s">
        <v>10</v>
      </c>
      <c r="E6" s="70" t="s">
        <v>11</v>
      </c>
      <c r="F6" s="70" t="s">
        <v>12</v>
      </c>
      <c r="G6" s="70" t="s">
        <v>13</v>
      </c>
      <c r="H6" s="70" t="s">
        <v>14</v>
      </c>
      <c r="I6" s="62" t="s">
        <v>15</v>
      </c>
      <c r="J6" s="244"/>
      <c r="K6" s="244"/>
      <c r="L6" s="244"/>
      <c r="M6" s="230"/>
      <c r="N6" s="231"/>
      <c r="O6" s="13">
        <f t="shared" si="0"/>
        <v>0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15" ht="19.5" customHeight="1">
      <c r="A7" s="15">
        <f>IF(ISNA(VLOOKUP($C5,Stats,4,FALSE)),"",VLOOKUP($C5,Stats,4,FALSE))</f>
      </c>
      <c r="B7" s="15">
        <f>IF(ISNA(VLOOKUP($C5,Stats,5,FALSE)),"",VLOOKUP($C5,Stats,5,FALSE))</f>
      </c>
      <c r="C7" s="15">
        <f>IF(ISNA(VLOOKUP($C5,Stats,6,FALSE)),"",VLOOKUP($C5,Stats,6,FALSE))</f>
      </c>
      <c r="D7" s="15">
        <f>IF(ISNA(VLOOKUP($C5,Stats,7,FALSE)),"",VLOOKUP($C5,Stats,7,FALSE))</f>
      </c>
      <c r="E7" s="15">
        <f>IF(ISNA(VLOOKUP($C5,Stats,8,FALSE)),"",VLOOKUP($C5,Stats,8,FALSE))</f>
      </c>
      <c r="F7" s="15">
        <f>IF(ISNA(VLOOKUP($C5,Stats,9,FALSE)),"",VLOOKUP($C5,Stats,9,FALSE))</f>
      </c>
      <c r="G7" s="15">
        <f>IF(ISNA(VLOOKUP($C5,Stats,10,FALSE)),"",VLOOKUP($C5,Stats,10,FALSE))</f>
      </c>
      <c r="H7" s="15">
        <f>IF(ISNA(VLOOKUP($C5,Stats,11,FALSE)),"",VLOOKUP($C5,Stats,11,FALSE))</f>
      </c>
      <c r="I7" s="15">
        <f>IF(ISNA(VLOOKUP($C5,Stats,12,FALSE)),"",VLOOKUP($C5,Stats,12,FALSE))</f>
      </c>
      <c r="J7" s="244"/>
      <c r="K7" s="244"/>
      <c r="L7" s="244"/>
      <c r="M7" s="230"/>
      <c r="N7" s="231"/>
      <c r="O7" s="13">
        <f t="shared" si="0"/>
        <v>0</v>
      </c>
    </row>
    <row r="8" spans="1:15" ht="19.5" customHeight="1">
      <c r="A8" s="11"/>
      <c r="B8" s="10"/>
      <c r="C8" s="10"/>
      <c r="D8" s="10"/>
      <c r="E8" s="10"/>
      <c r="F8" s="10"/>
      <c r="G8" s="10"/>
      <c r="H8" s="10"/>
      <c r="I8" s="12"/>
      <c r="J8" s="227"/>
      <c r="K8" s="228"/>
      <c r="L8" s="229"/>
      <c r="M8" s="230"/>
      <c r="N8" s="231"/>
      <c r="O8" s="13">
        <f t="shared" si="0"/>
        <v>0</v>
      </c>
    </row>
    <row r="9" spans="1:15" ht="19.5" customHeight="1" thickBot="1">
      <c r="A9" s="257" t="s">
        <v>31</v>
      </c>
      <c r="B9" s="258"/>
      <c r="C9" s="258"/>
      <c r="D9" s="43" t="str">
        <f>IF(M12&lt;&gt;"",VLOOKUP(M12,ArmorSave,2,FALSE),"-")</f>
        <v>-</v>
      </c>
      <c r="E9" s="255" t="s">
        <v>525</v>
      </c>
      <c r="F9" s="256"/>
      <c r="G9" s="333"/>
      <c r="H9" s="389"/>
      <c r="I9" s="390"/>
      <c r="J9" s="227"/>
      <c r="K9" s="228"/>
      <c r="L9" s="229"/>
      <c r="M9" s="230"/>
      <c r="N9" s="231"/>
      <c r="O9" s="13">
        <f t="shared" si="0"/>
        <v>0</v>
      </c>
    </row>
    <row r="10" spans="1:15" ht="19.5" customHeight="1">
      <c r="A10" s="245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7"/>
      <c r="M10" s="230"/>
      <c r="N10" s="231"/>
      <c r="O10" s="13">
        <f t="shared" si="0"/>
        <v>0</v>
      </c>
    </row>
    <row r="11" spans="1:15" ht="19.5" customHeight="1">
      <c r="A11" s="248"/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250"/>
      <c r="M11" s="230"/>
      <c r="N11" s="231"/>
      <c r="O11" s="13">
        <f t="shared" si="0"/>
        <v>0</v>
      </c>
    </row>
    <row r="12" spans="1:15" ht="19.5" customHeight="1" thickBot="1">
      <c r="A12" s="302" t="s">
        <v>28</v>
      </c>
      <c r="B12" s="392"/>
      <c r="C12" s="15">
        <f>IF(ISNA(VLOOKUP($C5,Stats,3,FALSE)),0,VLOOKUP($C5,Stats,3,FALSE))</f>
        <v>0</v>
      </c>
      <c r="D12" s="259" t="s">
        <v>29</v>
      </c>
      <c r="E12" s="260"/>
      <c r="F12" s="16">
        <f>IF(ISNUMBER(C12),SUM(O5:O12)+C12,0)</f>
        <v>0</v>
      </c>
      <c r="G12" s="240" t="s">
        <v>526</v>
      </c>
      <c r="H12" s="241"/>
      <c r="I12" s="42">
        <f>IF(C5&lt;&gt;"",VLOOKUP($C5,Stats,2,FALSE)+L13+I13+O13,0)</f>
        <v>0</v>
      </c>
      <c r="J12" s="71"/>
      <c r="K12" s="296" t="s">
        <v>683</v>
      </c>
      <c r="L12" s="297"/>
      <c r="M12" s="251"/>
      <c r="N12" s="252"/>
      <c r="O12" s="13">
        <f t="shared" si="0"/>
        <v>0</v>
      </c>
    </row>
    <row r="13" spans="1:15" ht="19.5" customHeight="1" thickBot="1">
      <c r="A13" s="332"/>
      <c r="B13" s="332"/>
      <c r="C13" s="332"/>
      <c r="D13" s="332"/>
      <c r="E13" s="304" t="s">
        <v>534</v>
      </c>
      <c r="F13" s="305"/>
      <c r="G13" s="305"/>
      <c r="H13" s="306"/>
      <c r="I13" s="7"/>
      <c r="J13" s="307" t="s">
        <v>681</v>
      </c>
      <c r="K13" s="308"/>
      <c r="L13" s="12"/>
      <c r="M13" s="391" t="s">
        <v>533</v>
      </c>
      <c r="N13" s="391"/>
      <c r="O13" s="8">
        <v>0</v>
      </c>
    </row>
    <row r="14" ht="13.5" thickBot="1"/>
    <row r="15" spans="1:15" ht="19.5" customHeight="1">
      <c r="A15" s="271" t="s">
        <v>16</v>
      </c>
      <c r="B15" s="330"/>
      <c r="C15" s="300"/>
      <c r="D15" s="300"/>
      <c r="E15" s="300"/>
      <c r="F15" s="300"/>
      <c r="G15" s="300"/>
      <c r="H15" s="300"/>
      <c r="I15" s="300"/>
      <c r="J15" s="68" t="s">
        <v>682</v>
      </c>
      <c r="K15" s="385"/>
      <c r="L15" s="386"/>
      <c r="M15" s="278" t="s">
        <v>17</v>
      </c>
      <c r="N15" s="279"/>
      <c r="O15" s="66" t="s">
        <v>30</v>
      </c>
    </row>
    <row r="16" spans="1:15" ht="19.5" customHeight="1">
      <c r="A16" s="240" t="s">
        <v>24</v>
      </c>
      <c r="B16" s="241"/>
      <c r="C16" s="242"/>
      <c r="D16" s="242"/>
      <c r="E16" s="242"/>
      <c r="F16" s="242"/>
      <c r="G16" s="242"/>
      <c r="H16" s="242"/>
      <c r="I16" s="243"/>
      <c r="J16" s="288">
        <f>SUBSTITUTE(IF(ISNA(VLOOKUP($C16,Stats,13,FALSE)),"",VLOOKUP($C16,Stats,13,FALSE)),0,"")</f>
      </c>
      <c r="K16" s="289"/>
      <c r="L16" s="290"/>
      <c r="M16" s="230"/>
      <c r="N16" s="231"/>
      <c r="O16" s="13">
        <f aca="true" t="shared" si="1" ref="O16:O23">IF(ISNA(VLOOKUP(M16,MasterItems,2,FALSE)),0,VLOOKUP(M16,MasterItems,2,FALSE))</f>
        <v>0</v>
      </c>
    </row>
    <row r="17" spans="1:44" s="3" customFormat="1" ht="19.5" customHeight="1">
      <c r="A17" s="69" t="s">
        <v>7</v>
      </c>
      <c r="B17" s="70" t="s">
        <v>8</v>
      </c>
      <c r="C17" s="70" t="s">
        <v>9</v>
      </c>
      <c r="D17" s="70" t="s">
        <v>10</v>
      </c>
      <c r="E17" s="70" t="s">
        <v>11</v>
      </c>
      <c r="F17" s="70" t="s">
        <v>12</v>
      </c>
      <c r="G17" s="70" t="s">
        <v>13</v>
      </c>
      <c r="H17" s="70" t="s">
        <v>14</v>
      </c>
      <c r="I17" s="62" t="s">
        <v>15</v>
      </c>
      <c r="J17" s="244"/>
      <c r="K17" s="244"/>
      <c r="L17" s="244"/>
      <c r="M17" s="230"/>
      <c r="N17" s="231"/>
      <c r="O17" s="13">
        <f t="shared" si="1"/>
        <v>0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1:15" ht="19.5" customHeight="1">
      <c r="A18" s="15">
        <f>IF(ISNA(VLOOKUP($C16,Stats,4,FALSE)),"",VLOOKUP($C16,Stats,4,FALSE))</f>
      </c>
      <c r="B18" s="15">
        <f>IF(ISNA(VLOOKUP($C16,Stats,5,FALSE)),"",VLOOKUP($C16,Stats,5,FALSE))</f>
      </c>
      <c r="C18" s="15">
        <f>IF(ISNA(VLOOKUP($C16,Stats,6,FALSE)),"",VLOOKUP($C16,Stats,6,FALSE))</f>
      </c>
      <c r="D18" s="15">
        <f>IF(ISNA(VLOOKUP($C16,Stats,7,FALSE)),"",VLOOKUP($C16,Stats,7,FALSE))</f>
      </c>
      <c r="E18" s="15">
        <f>IF(ISNA(VLOOKUP($C16,Stats,8,FALSE)),"",VLOOKUP($C16,Stats,8,FALSE))</f>
      </c>
      <c r="F18" s="15">
        <f>IF(ISNA(VLOOKUP($C16,Stats,9,FALSE)),"",VLOOKUP($C16,Stats,9,FALSE))</f>
      </c>
      <c r="G18" s="15">
        <f>IF(ISNA(VLOOKUP($C16,Stats,10,FALSE)),"",VLOOKUP($C16,Stats,10,FALSE))</f>
      </c>
      <c r="H18" s="15">
        <f>IF(ISNA(VLOOKUP($C16,Stats,11,FALSE)),"",VLOOKUP($C16,Stats,11,FALSE))</f>
      </c>
      <c r="I18" s="15">
        <f>IF(ISNA(VLOOKUP($C16,Stats,12,FALSE)),"",VLOOKUP($C16,Stats,12,FALSE))</f>
      </c>
      <c r="J18" s="244"/>
      <c r="K18" s="244"/>
      <c r="L18" s="244"/>
      <c r="M18" s="230"/>
      <c r="N18" s="231"/>
      <c r="O18" s="13">
        <f t="shared" si="1"/>
        <v>0</v>
      </c>
    </row>
    <row r="19" spans="1:15" ht="19.5" customHeight="1">
      <c r="A19" s="11"/>
      <c r="B19" s="10"/>
      <c r="C19" s="10"/>
      <c r="D19" s="10"/>
      <c r="E19" s="10"/>
      <c r="F19" s="10"/>
      <c r="G19" s="10"/>
      <c r="H19" s="10"/>
      <c r="I19" s="12"/>
      <c r="J19" s="227"/>
      <c r="K19" s="228"/>
      <c r="L19" s="229"/>
      <c r="M19" s="230"/>
      <c r="N19" s="231"/>
      <c r="O19" s="13">
        <f t="shared" si="1"/>
        <v>0</v>
      </c>
    </row>
    <row r="20" spans="1:15" ht="19.5" customHeight="1" thickBot="1">
      <c r="A20" s="257" t="s">
        <v>31</v>
      </c>
      <c r="B20" s="258"/>
      <c r="C20" s="258"/>
      <c r="D20" s="43" t="str">
        <f>IF(M23&lt;&gt;"",VLOOKUP(M23,ArmorSave,2,FALSE),"-")</f>
        <v>-</v>
      </c>
      <c r="E20" s="255" t="s">
        <v>525</v>
      </c>
      <c r="F20" s="256"/>
      <c r="G20" s="333"/>
      <c r="H20" s="389"/>
      <c r="I20" s="390"/>
      <c r="J20" s="227"/>
      <c r="K20" s="228"/>
      <c r="L20" s="229"/>
      <c r="M20" s="230"/>
      <c r="N20" s="231"/>
      <c r="O20" s="13">
        <f t="shared" si="1"/>
        <v>0</v>
      </c>
    </row>
    <row r="21" spans="1:15" ht="19.5" customHeight="1">
      <c r="A21" s="245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7"/>
      <c r="M21" s="230"/>
      <c r="N21" s="231"/>
      <c r="O21" s="13">
        <f t="shared" si="1"/>
        <v>0</v>
      </c>
    </row>
    <row r="22" spans="1:15" ht="19.5" customHeight="1">
      <c r="A22" s="248"/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250"/>
      <c r="M22" s="230"/>
      <c r="N22" s="231"/>
      <c r="O22" s="13">
        <f t="shared" si="1"/>
        <v>0</v>
      </c>
    </row>
    <row r="23" spans="1:15" ht="19.5" customHeight="1" thickBot="1">
      <c r="A23" s="302" t="s">
        <v>28</v>
      </c>
      <c r="B23" s="392"/>
      <c r="C23" s="15">
        <f>IF(ISNA(VLOOKUP($C16,Stats,3,FALSE)),0,VLOOKUP($C16,Stats,3,FALSE))</f>
        <v>0</v>
      </c>
      <c r="D23" s="259" t="s">
        <v>29</v>
      </c>
      <c r="E23" s="260"/>
      <c r="F23" s="16">
        <f>IF(ISNUMBER(C23),SUM(O16:O23)+C23,0)</f>
        <v>0</v>
      </c>
      <c r="G23" s="240" t="s">
        <v>526</v>
      </c>
      <c r="H23" s="241"/>
      <c r="I23" s="42">
        <f>IF(C16&lt;&gt;"",VLOOKUP($C16,Stats,2,FALSE)+L24+I24+O24,0)</f>
        <v>0</v>
      </c>
      <c r="J23" s="71"/>
      <c r="K23" s="296" t="s">
        <v>683</v>
      </c>
      <c r="L23" s="297"/>
      <c r="M23" s="251"/>
      <c r="N23" s="252"/>
      <c r="O23" s="13">
        <f t="shared" si="1"/>
        <v>0</v>
      </c>
    </row>
    <row r="24" spans="1:15" ht="19.5" customHeight="1" thickBot="1">
      <c r="A24" s="332"/>
      <c r="B24" s="332"/>
      <c r="C24" s="332"/>
      <c r="D24" s="332"/>
      <c r="E24" s="304" t="s">
        <v>534</v>
      </c>
      <c r="F24" s="305"/>
      <c r="G24" s="305"/>
      <c r="H24" s="306"/>
      <c r="I24" s="7"/>
      <c r="J24" s="307" t="s">
        <v>681</v>
      </c>
      <c r="K24" s="308"/>
      <c r="L24" s="12"/>
      <c r="M24" s="391" t="s">
        <v>533</v>
      </c>
      <c r="N24" s="391"/>
      <c r="O24" s="8">
        <v>0</v>
      </c>
    </row>
    <row r="25" ht="13.5" thickBot="1"/>
    <row r="26" spans="1:15" ht="19.5" customHeight="1">
      <c r="A26" s="271" t="s">
        <v>16</v>
      </c>
      <c r="B26" s="330"/>
      <c r="C26" s="300"/>
      <c r="D26" s="300"/>
      <c r="E26" s="300"/>
      <c r="F26" s="300"/>
      <c r="G26" s="300"/>
      <c r="H26" s="300"/>
      <c r="I26" s="300"/>
      <c r="J26" s="68" t="s">
        <v>682</v>
      </c>
      <c r="K26" s="385"/>
      <c r="L26" s="386"/>
      <c r="M26" s="278" t="s">
        <v>17</v>
      </c>
      <c r="N26" s="279"/>
      <c r="O26" s="66" t="s">
        <v>30</v>
      </c>
    </row>
    <row r="27" spans="1:15" ht="19.5" customHeight="1">
      <c r="A27" s="240" t="s">
        <v>24</v>
      </c>
      <c r="B27" s="241"/>
      <c r="C27" s="242"/>
      <c r="D27" s="242"/>
      <c r="E27" s="242"/>
      <c r="F27" s="242"/>
      <c r="G27" s="242"/>
      <c r="H27" s="242"/>
      <c r="I27" s="243"/>
      <c r="J27" s="288">
        <f>SUBSTITUTE(IF(ISNA(VLOOKUP($C27,Stats,13,FALSE)),"",VLOOKUP($C27,Stats,13,FALSE)),0,"")</f>
      </c>
      <c r="K27" s="289"/>
      <c r="L27" s="290"/>
      <c r="M27" s="230"/>
      <c r="N27" s="231"/>
      <c r="O27" s="13">
        <f aca="true" t="shared" si="2" ref="O27:O34">IF(ISNA(VLOOKUP(M27,MasterItems,2,FALSE)),0,VLOOKUP(M27,MasterItems,2,FALSE))</f>
        <v>0</v>
      </c>
    </row>
    <row r="28" spans="1:44" s="3" customFormat="1" ht="19.5" customHeight="1">
      <c r="A28" s="69" t="s">
        <v>7</v>
      </c>
      <c r="B28" s="70" t="s">
        <v>8</v>
      </c>
      <c r="C28" s="70" t="s">
        <v>9</v>
      </c>
      <c r="D28" s="70" t="s">
        <v>10</v>
      </c>
      <c r="E28" s="70" t="s">
        <v>11</v>
      </c>
      <c r="F28" s="70" t="s">
        <v>12</v>
      </c>
      <c r="G28" s="70" t="s">
        <v>13</v>
      </c>
      <c r="H28" s="70" t="s">
        <v>14</v>
      </c>
      <c r="I28" s="62" t="s">
        <v>15</v>
      </c>
      <c r="J28" s="244"/>
      <c r="K28" s="244"/>
      <c r="L28" s="244"/>
      <c r="M28" s="230"/>
      <c r="N28" s="231"/>
      <c r="O28" s="13">
        <f t="shared" si="2"/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1:15" ht="19.5" customHeight="1">
      <c r="A29" s="15">
        <f>IF(ISNA(VLOOKUP($C27,Stats,4,FALSE)),"",VLOOKUP($C27,Stats,4,FALSE))</f>
      </c>
      <c r="B29" s="15">
        <f>IF(ISNA(VLOOKUP($C27,Stats,5,FALSE)),"",VLOOKUP($C27,Stats,5,FALSE))</f>
      </c>
      <c r="C29" s="15">
        <f>IF(ISNA(VLOOKUP($C27,Stats,6,FALSE)),"",VLOOKUP($C27,Stats,6,FALSE))</f>
      </c>
      <c r="D29" s="15">
        <f>IF(ISNA(VLOOKUP($C27,Stats,7,FALSE)),"",VLOOKUP($C27,Stats,7,FALSE))</f>
      </c>
      <c r="E29" s="15">
        <f>IF(ISNA(VLOOKUP($C27,Stats,8,FALSE)),"",VLOOKUP($C27,Stats,8,FALSE))</f>
      </c>
      <c r="F29" s="15">
        <f>IF(ISNA(VLOOKUP($C27,Stats,9,FALSE)),"",VLOOKUP($C27,Stats,9,FALSE))</f>
      </c>
      <c r="G29" s="15">
        <f>IF(ISNA(VLOOKUP($C27,Stats,10,FALSE)),"",VLOOKUP($C27,Stats,10,FALSE))</f>
      </c>
      <c r="H29" s="15">
        <f>IF(ISNA(VLOOKUP($C27,Stats,11,FALSE)),"",VLOOKUP($C27,Stats,11,FALSE))</f>
      </c>
      <c r="I29" s="15">
        <f>IF(ISNA(VLOOKUP($C27,Stats,12,FALSE)),"",VLOOKUP($C27,Stats,12,FALSE))</f>
      </c>
      <c r="J29" s="244"/>
      <c r="K29" s="244"/>
      <c r="L29" s="244"/>
      <c r="M29" s="230"/>
      <c r="N29" s="231"/>
      <c r="O29" s="13">
        <f t="shared" si="2"/>
        <v>0</v>
      </c>
    </row>
    <row r="30" spans="1:15" ht="19.5" customHeight="1">
      <c r="A30" s="11"/>
      <c r="B30" s="10"/>
      <c r="C30" s="10"/>
      <c r="D30" s="10"/>
      <c r="E30" s="10"/>
      <c r="F30" s="10"/>
      <c r="G30" s="10"/>
      <c r="H30" s="10"/>
      <c r="I30" s="12"/>
      <c r="J30" s="227"/>
      <c r="K30" s="228"/>
      <c r="L30" s="229"/>
      <c r="M30" s="230"/>
      <c r="N30" s="231"/>
      <c r="O30" s="13">
        <f t="shared" si="2"/>
        <v>0</v>
      </c>
    </row>
    <row r="31" spans="1:15" ht="19.5" customHeight="1" thickBot="1">
      <c r="A31" s="257" t="s">
        <v>31</v>
      </c>
      <c r="B31" s="258"/>
      <c r="C31" s="258"/>
      <c r="D31" s="43" t="str">
        <f>IF(M34&lt;&gt;"",VLOOKUP(M34,ArmorSave,2,FALSE),"-")</f>
        <v>-</v>
      </c>
      <c r="E31" s="255" t="s">
        <v>525</v>
      </c>
      <c r="F31" s="256"/>
      <c r="G31" s="333"/>
      <c r="H31" s="389"/>
      <c r="I31" s="390"/>
      <c r="J31" s="227"/>
      <c r="K31" s="228"/>
      <c r="L31" s="229"/>
      <c r="M31" s="230"/>
      <c r="N31" s="231"/>
      <c r="O31" s="13">
        <f t="shared" si="2"/>
        <v>0</v>
      </c>
    </row>
    <row r="32" spans="1:15" ht="19.5" customHeight="1">
      <c r="A32" s="245"/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7"/>
      <c r="M32" s="230"/>
      <c r="N32" s="231"/>
      <c r="O32" s="13">
        <f t="shared" si="2"/>
        <v>0</v>
      </c>
    </row>
    <row r="33" spans="1:15" ht="19.5" customHeight="1">
      <c r="A33" s="248"/>
      <c r="B33" s="337"/>
      <c r="C33" s="337"/>
      <c r="D33" s="337"/>
      <c r="E33" s="337"/>
      <c r="F33" s="337"/>
      <c r="G33" s="337"/>
      <c r="H33" s="337"/>
      <c r="I33" s="337"/>
      <c r="J33" s="337"/>
      <c r="K33" s="337"/>
      <c r="L33" s="250"/>
      <c r="M33" s="230"/>
      <c r="N33" s="231"/>
      <c r="O33" s="13">
        <f t="shared" si="2"/>
        <v>0</v>
      </c>
    </row>
    <row r="34" spans="1:15" ht="19.5" customHeight="1" thickBot="1">
      <c r="A34" s="302" t="s">
        <v>28</v>
      </c>
      <c r="B34" s="392"/>
      <c r="C34" s="15">
        <f>IF(ISNA(VLOOKUP($C27,Stats,3,FALSE)),0,VLOOKUP($C27,Stats,3,FALSE))</f>
        <v>0</v>
      </c>
      <c r="D34" s="259" t="s">
        <v>29</v>
      </c>
      <c r="E34" s="260"/>
      <c r="F34" s="16">
        <f>IF(ISNUMBER(C34),SUM(O27:O34)+C34,0)</f>
        <v>0</v>
      </c>
      <c r="G34" s="240" t="s">
        <v>526</v>
      </c>
      <c r="H34" s="241"/>
      <c r="I34" s="42">
        <f>IF(C27&lt;&gt;"",VLOOKUP($C27,Stats,2,FALSE)+L35+I35+O35,0)</f>
        <v>0</v>
      </c>
      <c r="J34" s="71"/>
      <c r="K34" s="296" t="s">
        <v>683</v>
      </c>
      <c r="L34" s="297"/>
      <c r="M34" s="251"/>
      <c r="N34" s="252"/>
      <c r="O34" s="13">
        <f t="shared" si="2"/>
        <v>0</v>
      </c>
    </row>
    <row r="35" spans="1:15" ht="19.5" customHeight="1" thickBot="1">
      <c r="A35" s="332"/>
      <c r="B35" s="332"/>
      <c r="C35" s="332"/>
      <c r="D35" s="332"/>
      <c r="E35" s="304" t="s">
        <v>534</v>
      </c>
      <c r="F35" s="305"/>
      <c r="G35" s="305"/>
      <c r="H35" s="306"/>
      <c r="I35" s="7"/>
      <c r="J35" s="307" t="s">
        <v>681</v>
      </c>
      <c r="K35" s="308"/>
      <c r="L35" s="12"/>
      <c r="M35" s="391" t="s">
        <v>533</v>
      </c>
      <c r="N35" s="391"/>
      <c r="O35" s="8">
        <v>0</v>
      </c>
    </row>
    <row r="46" spans="1:15" ht="12.75">
      <c r="A46" s="387" t="s">
        <v>684</v>
      </c>
      <c r="B46" s="337"/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</row>
    <row r="47" spans="1:15" ht="12.75">
      <c r="A47" s="337"/>
      <c r="B47" s="337"/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7"/>
      <c r="N47" s="337"/>
      <c r="O47" s="337"/>
    </row>
    <row r="48" spans="1:15" ht="13.5" thickBot="1">
      <c r="A48" s="388"/>
      <c r="B48" s="388"/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8"/>
    </row>
    <row r="49" spans="1:15" ht="19.5" customHeight="1">
      <c r="A49" s="271" t="s">
        <v>16</v>
      </c>
      <c r="B49" s="330"/>
      <c r="C49" s="300"/>
      <c r="D49" s="300"/>
      <c r="E49" s="300"/>
      <c r="F49" s="300"/>
      <c r="G49" s="300"/>
      <c r="H49" s="300"/>
      <c r="I49" s="300"/>
      <c r="J49" s="68" t="s">
        <v>682</v>
      </c>
      <c r="K49" s="385"/>
      <c r="L49" s="386"/>
      <c r="M49" s="278" t="s">
        <v>17</v>
      </c>
      <c r="N49" s="279"/>
      <c r="O49" s="66" t="s">
        <v>30</v>
      </c>
    </row>
    <row r="50" spans="1:15" ht="19.5" customHeight="1">
      <c r="A50" s="240" t="s">
        <v>24</v>
      </c>
      <c r="B50" s="241"/>
      <c r="C50" s="242"/>
      <c r="D50" s="242"/>
      <c r="E50" s="242"/>
      <c r="F50" s="242"/>
      <c r="G50" s="242"/>
      <c r="H50" s="242"/>
      <c r="I50" s="243"/>
      <c r="J50" s="288">
        <f>SUBSTITUTE(IF(ISNA(VLOOKUP($C50,Stats,13,FALSE)),"",VLOOKUP($C50,Stats,13,FALSE)),0,"")</f>
      </c>
      <c r="K50" s="289"/>
      <c r="L50" s="290"/>
      <c r="M50" s="230"/>
      <c r="N50" s="231"/>
      <c r="O50" s="13">
        <f aca="true" t="shared" si="3" ref="O50:O57">IF(ISNA(VLOOKUP(M50,MasterItems,2,FALSE)),0,VLOOKUP(M50,MasterItems,2,FALSE))</f>
        <v>0</v>
      </c>
    </row>
    <row r="51" spans="1:44" s="3" customFormat="1" ht="19.5" customHeight="1">
      <c r="A51" s="69" t="s">
        <v>7</v>
      </c>
      <c r="B51" s="70" t="s">
        <v>8</v>
      </c>
      <c r="C51" s="70" t="s">
        <v>9</v>
      </c>
      <c r="D51" s="70" t="s">
        <v>10</v>
      </c>
      <c r="E51" s="70" t="s">
        <v>11</v>
      </c>
      <c r="F51" s="70" t="s">
        <v>12</v>
      </c>
      <c r="G51" s="70" t="s">
        <v>13</v>
      </c>
      <c r="H51" s="70" t="s">
        <v>14</v>
      </c>
      <c r="I51" s="62" t="s">
        <v>15</v>
      </c>
      <c r="J51" s="244"/>
      <c r="K51" s="244"/>
      <c r="L51" s="244"/>
      <c r="M51" s="230"/>
      <c r="N51" s="231"/>
      <c r="O51" s="13">
        <f t="shared" si="3"/>
        <v>0</v>
      </c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</row>
    <row r="52" spans="1:15" ht="19.5" customHeight="1">
      <c r="A52" s="15">
        <f>IF(ISNA(VLOOKUP($C50,Stats,4,FALSE)),"",VLOOKUP($C50,Stats,4,FALSE))</f>
      </c>
      <c r="B52" s="15">
        <f>IF(ISNA(VLOOKUP($C50,Stats,5,FALSE)),"",VLOOKUP($C50,Stats,5,FALSE))</f>
      </c>
      <c r="C52" s="15">
        <f>IF(ISNA(VLOOKUP($C50,Stats,6,FALSE)),"",VLOOKUP($C50,Stats,6,FALSE))</f>
      </c>
      <c r="D52" s="15">
        <f>IF(ISNA(VLOOKUP($C50,Stats,7,FALSE)),"",VLOOKUP($C50,Stats,7,FALSE))</f>
      </c>
      <c r="E52" s="15">
        <f>IF(ISNA(VLOOKUP($C50,Stats,8,FALSE)),"",VLOOKUP($C50,Stats,8,FALSE))</f>
      </c>
      <c r="F52" s="15">
        <f>IF(ISNA(VLOOKUP($C50,Stats,9,FALSE)),"",VLOOKUP($C50,Stats,9,FALSE))</f>
      </c>
      <c r="G52" s="15">
        <f>IF(ISNA(VLOOKUP($C50,Stats,10,FALSE)),"",VLOOKUP($C50,Stats,10,FALSE))</f>
      </c>
      <c r="H52" s="15">
        <f>IF(ISNA(VLOOKUP($C50,Stats,11,FALSE)),"",VLOOKUP($C50,Stats,11,FALSE))</f>
      </c>
      <c r="I52" s="15">
        <f>IF(ISNA(VLOOKUP($C50,Stats,12,FALSE)),"",VLOOKUP($C50,Stats,12,FALSE))</f>
      </c>
      <c r="J52" s="244"/>
      <c r="K52" s="244"/>
      <c r="L52" s="244"/>
      <c r="M52" s="230"/>
      <c r="N52" s="231"/>
      <c r="O52" s="13">
        <f t="shared" si="3"/>
        <v>0</v>
      </c>
    </row>
    <row r="53" spans="1:15" ht="19.5" customHeight="1">
      <c r="A53" s="11"/>
      <c r="B53" s="10"/>
      <c r="C53" s="10"/>
      <c r="D53" s="10"/>
      <c r="E53" s="10"/>
      <c r="F53" s="10"/>
      <c r="G53" s="10"/>
      <c r="H53" s="10"/>
      <c r="I53" s="12"/>
      <c r="J53" s="227"/>
      <c r="K53" s="228"/>
      <c r="L53" s="229"/>
      <c r="M53" s="230"/>
      <c r="N53" s="231"/>
      <c r="O53" s="13">
        <f t="shared" si="3"/>
        <v>0</v>
      </c>
    </row>
    <row r="54" spans="1:15" ht="19.5" customHeight="1" thickBot="1">
      <c r="A54" s="257" t="s">
        <v>31</v>
      </c>
      <c r="B54" s="258"/>
      <c r="C54" s="258"/>
      <c r="D54" s="43" t="str">
        <f>IF(M57&lt;&gt;"",VLOOKUP(M57,ArmorSave,2,FALSE),"-")</f>
        <v>-</v>
      </c>
      <c r="E54" s="255" t="s">
        <v>525</v>
      </c>
      <c r="F54" s="256"/>
      <c r="G54" s="333"/>
      <c r="H54" s="389"/>
      <c r="I54" s="390"/>
      <c r="J54" s="227"/>
      <c r="K54" s="228"/>
      <c r="L54" s="229"/>
      <c r="M54" s="230"/>
      <c r="N54" s="231"/>
      <c r="O54" s="13">
        <f t="shared" si="3"/>
        <v>0</v>
      </c>
    </row>
    <row r="55" spans="1:15" ht="19.5" customHeight="1">
      <c r="A55" s="245"/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7"/>
      <c r="M55" s="230"/>
      <c r="N55" s="231"/>
      <c r="O55" s="13">
        <f t="shared" si="3"/>
        <v>0</v>
      </c>
    </row>
    <row r="56" spans="1:15" ht="19.5" customHeight="1">
      <c r="A56" s="248"/>
      <c r="B56" s="337"/>
      <c r="C56" s="337"/>
      <c r="D56" s="337"/>
      <c r="E56" s="337"/>
      <c r="F56" s="337"/>
      <c r="G56" s="337"/>
      <c r="H56" s="337"/>
      <c r="I56" s="337"/>
      <c r="J56" s="337"/>
      <c r="K56" s="337"/>
      <c r="L56" s="250"/>
      <c r="M56" s="230"/>
      <c r="N56" s="231"/>
      <c r="O56" s="13">
        <f t="shared" si="3"/>
        <v>0</v>
      </c>
    </row>
    <row r="57" spans="1:15" ht="19.5" customHeight="1" thickBot="1">
      <c r="A57" s="302" t="s">
        <v>28</v>
      </c>
      <c r="B57" s="392"/>
      <c r="C57" s="15">
        <f>IF(ISNA(VLOOKUP($C50,Stats,3,FALSE)),0,VLOOKUP($C50,Stats,3,FALSE))</f>
        <v>0</v>
      </c>
      <c r="D57" s="259" t="s">
        <v>29</v>
      </c>
      <c r="E57" s="260"/>
      <c r="F57" s="16">
        <f>IF(ISNUMBER(C57),SUM(O50:O57)+C57,0)</f>
        <v>0</v>
      </c>
      <c r="G57" s="240" t="s">
        <v>526</v>
      </c>
      <c r="H57" s="241"/>
      <c r="I57" s="42">
        <f>IF(C50&lt;&gt;"",VLOOKUP($C50,Stats,2,FALSE)+L58+I58+O58,0)</f>
        <v>0</v>
      </c>
      <c r="J57" s="71"/>
      <c r="K57" s="296" t="s">
        <v>683</v>
      </c>
      <c r="L57" s="297"/>
      <c r="M57" s="251"/>
      <c r="N57" s="252"/>
      <c r="O57" s="13">
        <f t="shared" si="3"/>
        <v>0</v>
      </c>
    </row>
    <row r="58" spans="1:15" ht="19.5" customHeight="1" thickBot="1">
      <c r="A58" s="332"/>
      <c r="B58" s="332"/>
      <c r="C58" s="332"/>
      <c r="D58" s="332"/>
      <c r="E58" s="304" t="s">
        <v>534</v>
      </c>
      <c r="F58" s="305"/>
      <c r="G58" s="305"/>
      <c r="H58" s="306"/>
      <c r="I58" s="7"/>
      <c r="J58" s="307" t="s">
        <v>681</v>
      </c>
      <c r="K58" s="308"/>
      <c r="L58" s="12"/>
      <c r="M58" s="391" t="s">
        <v>533</v>
      </c>
      <c r="N58" s="391"/>
      <c r="O58" s="8">
        <v>0</v>
      </c>
    </row>
    <row r="59" ht="13.5" thickBot="1"/>
    <row r="60" spans="1:15" ht="19.5" customHeight="1">
      <c r="A60" s="271" t="s">
        <v>16</v>
      </c>
      <c r="B60" s="330"/>
      <c r="C60" s="300"/>
      <c r="D60" s="300"/>
      <c r="E60" s="300"/>
      <c r="F60" s="300"/>
      <c r="G60" s="300"/>
      <c r="H60" s="300"/>
      <c r="I60" s="300"/>
      <c r="J60" s="68" t="s">
        <v>682</v>
      </c>
      <c r="K60" s="385"/>
      <c r="L60" s="386"/>
      <c r="M60" s="278" t="s">
        <v>17</v>
      </c>
      <c r="N60" s="279"/>
      <c r="O60" s="66" t="s">
        <v>30</v>
      </c>
    </row>
    <row r="61" spans="1:15" ht="19.5" customHeight="1">
      <c r="A61" s="240" t="s">
        <v>24</v>
      </c>
      <c r="B61" s="241"/>
      <c r="C61" s="242"/>
      <c r="D61" s="242"/>
      <c r="E61" s="242"/>
      <c r="F61" s="242"/>
      <c r="G61" s="242"/>
      <c r="H61" s="242"/>
      <c r="I61" s="243"/>
      <c r="J61" s="288">
        <f>SUBSTITUTE(IF(ISNA(VLOOKUP($C61,Stats,13,FALSE)),"",VLOOKUP($C61,Stats,13,FALSE)),0,"")</f>
      </c>
      <c r="K61" s="289"/>
      <c r="L61" s="290"/>
      <c r="M61" s="230"/>
      <c r="N61" s="231"/>
      <c r="O61" s="13">
        <f aca="true" t="shared" si="4" ref="O61:O68">IF(ISNA(VLOOKUP(M61,MasterItems,2,FALSE)),0,VLOOKUP(M61,MasterItems,2,FALSE))</f>
        <v>0</v>
      </c>
    </row>
    <row r="62" spans="1:44" s="3" customFormat="1" ht="19.5" customHeight="1">
      <c r="A62" s="69" t="s">
        <v>7</v>
      </c>
      <c r="B62" s="70" t="s">
        <v>8</v>
      </c>
      <c r="C62" s="70" t="s">
        <v>9</v>
      </c>
      <c r="D62" s="70" t="s">
        <v>10</v>
      </c>
      <c r="E62" s="70" t="s">
        <v>11</v>
      </c>
      <c r="F62" s="70" t="s">
        <v>12</v>
      </c>
      <c r="G62" s="70" t="s">
        <v>13</v>
      </c>
      <c r="H62" s="70" t="s">
        <v>14</v>
      </c>
      <c r="I62" s="62" t="s">
        <v>15</v>
      </c>
      <c r="J62" s="244"/>
      <c r="K62" s="244"/>
      <c r="L62" s="244"/>
      <c r="M62" s="230"/>
      <c r="N62" s="231"/>
      <c r="O62" s="13">
        <f t="shared" si="4"/>
        <v>0</v>
      </c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</row>
    <row r="63" spans="1:15" ht="19.5" customHeight="1">
      <c r="A63" s="15">
        <f>IF(ISNA(VLOOKUP($C61,Stats,4,FALSE)),"",VLOOKUP($C61,Stats,4,FALSE))</f>
      </c>
      <c r="B63" s="15">
        <f>IF(ISNA(VLOOKUP($C61,Stats,5,FALSE)),"",VLOOKUP($C61,Stats,5,FALSE))</f>
      </c>
      <c r="C63" s="15">
        <f>IF(ISNA(VLOOKUP($C61,Stats,6,FALSE)),"",VLOOKUP($C61,Stats,6,FALSE))</f>
      </c>
      <c r="D63" s="15">
        <f>IF(ISNA(VLOOKUP($C61,Stats,7,FALSE)),"",VLOOKUP($C61,Stats,7,FALSE))</f>
      </c>
      <c r="E63" s="15">
        <f>IF(ISNA(VLOOKUP($C61,Stats,8,FALSE)),"",VLOOKUP($C61,Stats,8,FALSE))</f>
      </c>
      <c r="F63" s="15">
        <f>IF(ISNA(VLOOKUP($C61,Stats,9,FALSE)),"",VLOOKUP($C61,Stats,9,FALSE))</f>
      </c>
      <c r="G63" s="15">
        <f>IF(ISNA(VLOOKUP($C61,Stats,10,FALSE)),"",VLOOKUP($C61,Stats,10,FALSE))</f>
      </c>
      <c r="H63" s="15">
        <f>IF(ISNA(VLOOKUP($C61,Stats,11,FALSE)),"",VLOOKUP($C61,Stats,11,FALSE))</f>
      </c>
      <c r="I63" s="15">
        <f>IF(ISNA(VLOOKUP($C61,Stats,12,FALSE)),"",VLOOKUP($C61,Stats,12,FALSE))</f>
      </c>
      <c r="J63" s="244"/>
      <c r="K63" s="244"/>
      <c r="L63" s="244"/>
      <c r="M63" s="230"/>
      <c r="N63" s="231"/>
      <c r="O63" s="13">
        <f t="shared" si="4"/>
        <v>0</v>
      </c>
    </row>
    <row r="64" spans="1:15" ht="19.5" customHeight="1">
      <c r="A64" s="11"/>
      <c r="B64" s="10"/>
      <c r="C64" s="10"/>
      <c r="D64" s="10"/>
      <c r="E64" s="10"/>
      <c r="F64" s="10"/>
      <c r="G64" s="10"/>
      <c r="H64" s="10"/>
      <c r="I64" s="12"/>
      <c r="J64" s="227"/>
      <c r="K64" s="228"/>
      <c r="L64" s="229"/>
      <c r="M64" s="230"/>
      <c r="N64" s="231"/>
      <c r="O64" s="13">
        <f t="shared" si="4"/>
        <v>0</v>
      </c>
    </row>
    <row r="65" spans="1:15" ht="19.5" customHeight="1" thickBot="1">
      <c r="A65" s="257" t="s">
        <v>31</v>
      </c>
      <c r="B65" s="258"/>
      <c r="C65" s="258"/>
      <c r="D65" s="43" t="str">
        <f>IF(M68&lt;&gt;"",VLOOKUP(M68,ArmorSave,2,FALSE),"-")</f>
        <v>-</v>
      </c>
      <c r="E65" s="255" t="s">
        <v>525</v>
      </c>
      <c r="F65" s="256"/>
      <c r="G65" s="333"/>
      <c r="H65" s="389"/>
      <c r="I65" s="390"/>
      <c r="J65" s="227"/>
      <c r="K65" s="228"/>
      <c r="L65" s="229"/>
      <c r="M65" s="230"/>
      <c r="N65" s="231"/>
      <c r="O65" s="13">
        <f t="shared" si="4"/>
        <v>0</v>
      </c>
    </row>
    <row r="66" spans="1:15" ht="19.5" customHeight="1">
      <c r="A66" s="245"/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7"/>
      <c r="M66" s="230"/>
      <c r="N66" s="231"/>
      <c r="O66" s="13">
        <f t="shared" si="4"/>
        <v>0</v>
      </c>
    </row>
    <row r="67" spans="1:15" ht="19.5" customHeight="1">
      <c r="A67" s="248"/>
      <c r="B67" s="337"/>
      <c r="C67" s="337"/>
      <c r="D67" s="337"/>
      <c r="E67" s="337"/>
      <c r="F67" s="337"/>
      <c r="G67" s="337"/>
      <c r="H67" s="337"/>
      <c r="I67" s="337"/>
      <c r="J67" s="337"/>
      <c r="K67" s="337"/>
      <c r="L67" s="250"/>
      <c r="M67" s="230"/>
      <c r="N67" s="231"/>
      <c r="O67" s="13">
        <f t="shared" si="4"/>
        <v>0</v>
      </c>
    </row>
    <row r="68" spans="1:15" ht="19.5" customHeight="1" thickBot="1">
      <c r="A68" s="302" t="s">
        <v>28</v>
      </c>
      <c r="B68" s="392"/>
      <c r="C68" s="15">
        <f>IF(ISNA(VLOOKUP($C61,Stats,3,FALSE)),0,VLOOKUP($C61,Stats,3,FALSE))</f>
        <v>0</v>
      </c>
      <c r="D68" s="259" t="s">
        <v>29</v>
      </c>
      <c r="E68" s="260"/>
      <c r="F68" s="16">
        <f>IF(ISNUMBER(C68),SUM(O61:O68)+C68,0)</f>
        <v>0</v>
      </c>
      <c r="G68" s="240" t="s">
        <v>526</v>
      </c>
      <c r="H68" s="241"/>
      <c r="I68" s="42">
        <f>IF(C61&lt;&gt;"",VLOOKUP($C61,Stats,2,FALSE)+L69+I69+O69,0)</f>
        <v>0</v>
      </c>
      <c r="J68" s="71"/>
      <c r="K68" s="296" t="s">
        <v>683</v>
      </c>
      <c r="L68" s="297"/>
      <c r="M68" s="251"/>
      <c r="N68" s="252"/>
      <c r="O68" s="13">
        <f t="shared" si="4"/>
        <v>0</v>
      </c>
    </row>
    <row r="69" spans="1:15" ht="19.5" customHeight="1" thickBot="1">
      <c r="A69" s="332"/>
      <c r="B69" s="332"/>
      <c r="C69" s="332"/>
      <c r="D69" s="332"/>
      <c r="E69" s="304" t="s">
        <v>534</v>
      </c>
      <c r="F69" s="305"/>
      <c r="G69" s="305"/>
      <c r="H69" s="306"/>
      <c r="I69" s="7"/>
      <c r="J69" s="307" t="s">
        <v>681</v>
      </c>
      <c r="K69" s="308"/>
      <c r="L69" s="12"/>
      <c r="M69" s="391" t="s">
        <v>533</v>
      </c>
      <c r="N69" s="391"/>
      <c r="O69" s="8">
        <v>0</v>
      </c>
    </row>
    <row r="73" ht="19.5" customHeight="1"/>
    <row r="74" ht="19.5" customHeight="1"/>
    <row r="75" spans="1:44" s="3" customFormat="1" ht="19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</row>
    <row r="76" ht="19.5" customHeight="1"/>
    <row r="77" ht="19.5" customHeight="1"/>
    <row r="78" ht="19.5" customHeight="1"/>
    <row r="79" ht="19.5" customHeight="1"/>
    <row r="83" ht="19.5" customHeight="1"/>
    <row r="84" ht="19.5" customHeight="1"/>
    <row r="85" spans="1:44" s="3" customFormat="1" ht="19.5" customHeight="1">
      <c r="A85" s="387" t="s">
        <v>569</v>
      </c>
      <c r="B85" s="337"/>
      <c r="C85" s="337"/>
      <c r="D85" s="337"/>
      <c r="E85" s="337"/>
      <c r="F85" s="337"/>
      <c r="G85" s="337"/>
      <c r="H85" s="337"/>
      <c r="I85" s="337"/>
      <c r="J85" s="337"/>
      <c r="K85" s="337"/>
      <c r="L85" s="337"/>
      <c r="M85" s="337"/>
      <c r="N85" s="337"/>
      <c r="O85" s="337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</row>
    <row r="86" spans="1:15" ht="19.5" customHeight="1">
      <c r="A86" s="337"/>
      <c r="B86" s="337"/>
      <c r="C86" s="337"/>
      <c r="D86" s="337"/>
      <c r="E86" s="337"/>
      <c r="F86" s="337"/>
      <c r="G86" s="337"/>
      <c r="H86" s="337"/>
      <c r="I86" s="337"/>
      <c r="J86" s="337"/>
      <c r="K86" s="337"/>
      <c r="L86" s="337"/>
      <c r="M86" s="337"/>
      <c r="N86" s="337"/>
      <c r="O86" s="337"/>
    </row>
    <row r="87" spans="1:15" ht="19.5" customHeight="1" thickBot="1">
      <c r="A87" s="388"/>
      <c r="B87" s="388"/>
      <c r="C87" s="388"/>
      <c r="D87" s="388"/>
      <c r="E87" s="388"/>
      <c r="F87" s="388"/>
      <c r="G87" s="388"/>
      <c r="H87" s="388"/>
      <c r="I87" s="388"/>
      <c r="J87" s="388"/>
      <c r="K87" s="388"/>
      <c r="L87" s="388"/>
      <c r="M87" s="388"/>
      <c r="N87" s="388"/>
      <c r="O87" s="388"/>
    </row>
    <row r="88" spans="1:15" ht="19.5" customHeight="1">
      <c r="A88" s="271" t="s">
        <v>25</v>
      </c>
      <c r="B88" s="330"/>
      <c r="C88" s="401"/>
      <c r="D88" s="401"/>
      <c r="E88" s="401"/>
      <c r="F88" s="401"/>
      <c r="G88" s="401"/>
      <c r="H88" s="401"/>
      <c r="I88" s="402"/>
      <c r="J88" s="74" t="s">
        <v>682</v>
      </c>
      <c r="K88" s="383">
        <f>IF(C88&lt;&gt;"",VLOOKUP(C88,HiredSwords,20,FALSE),"")</f>
      </c>
      <c r="L88" s="384"/>
      <c r="M88" s="273" t="s">
        <v>17</v>
      </c>
      <c r="N88" s="330"/>
      <c r="O88" s="400"/>
    </row>
    <row r="89" spans="1:15" ht="19.5" customHeight="1" thickBot="1">
      <c r="A89" s="338" t="s">
        <v>686</v>
      </c>
      <c r="B89" s="338"/>
      <c r="C89" s="43">
        <f>IF(C88&lt;&gt;"",VLOOKUP(C88,HiredSwords,2,FALSE),"")</f>
      </c>
      <c r="D89" s="338" t="s">
        <v>571</v>
      </c>
      <c r="E89" s="339"/>
      <c r="F89" s="43">
        <f>IF(C88&lt;&gt;"",VLOOKUP(C88,HiredSwords,3,FALSE),0)</f>
        <v>0</v>
      </c>
      <c r="G89" s="182" t="s">
        <v>572</v>
      </c>
      <c r="H89" s="367"/>
      <c r="I89" s="48">
        <f>IF(C88&lt;&gt;"",SUM(L95+O95+VLOOKUP(C88,HiredSwords,13,FALSE)),0)</f>
        <v>0</v>
      </c>
      <c r="J89" s="394">
        <f>SUBSTITUTE(IF(C88&lt;&gt;"",VLOOKUP(C88,HiredSwords,21,FALSE),""),0,"")</f>
      </c>
      <c r="K89" s="395"/>
      <c r="L89" s="396"/>
      <c r="M89" s="372">
        <f>SUBSTITUTE(IF(C88&lt;&gt;"",VLOOKUP(C88,HiredSwords,14,FALSE),""),0,"")</f>
      </c>
      <c r="N89" s="373"/>
      <c r="O89" s="374"/>
    </row>
    <row r="90" spans="1:15" ht="19.5" customHeight="1">
      <c r="A90" s="69" t="s">
        <v>7</v>
      </c>
      <c r="B90" s="70" t="s">
        <v>8</v>
      </c>
      <c r="C90" s="70" t="s">
        <v>9</v>
      </c>
      <c r="D90" s="70" t="s">
        <v>10</v>
      </c>
      <c r="E90" s="70" t="s">
        <v>11</v>
      </c>
      <c r="F90" s="70" t="s">
        <v>12</v>
      </c>
      <c r="G90" s="70" t="s">
        <v>13</v>
      </c>
      <c r="H90" s="70" t="s">
        <v>14</v>
      </c>
      <c r="I90" s="62" t="s">
        <v>15</v>
      </c>
      <c r="J90" s="397"/>
      <c r="K90" s="398"/>
      <c r="L90" s="399"/>
      <c r="M90" s="372">
        <f>SUBSTITUTE(IF(C88&lt;&gt;"",VLOOKUP(C88,HiredSwords,15,FALSE),""),0,"")</f>
      </c>
      <c r="N90" s="373"/>
      <c r="O90" s="374"/>
    </row>
    <row r="91" spans="1:15" ht="19.5" customHeight="1">
      <c r="A91" s="15">
        <f>IF(C88&lt;&gt;"",VLOOKUP(C88,HiredSwords,4,FALSE),"")</f>
      </c>
      <c r="B91" s="15">
        <f>IF(C88&lt;&gt;"",VLOOKUP(C88,HiredSwords,5,FALSE),"")</f>
      </c>
      <c r="C91" s="15">
        <f>IF(C88&lt;&gt;"",VLOOKUP(C88,HiredSwords,6,FALSE),"")</f>
      </c>
      <c r="D91" s="15">
        <f>IF(C88&lt;&gt;"",VLOOKUP(C88,HiredSwords,7,FALSE),"")</f>
      </c>
      <c r="E91" s="15">
        <f>IF(C88&lt;&gt;"",VLOOKUP(C88,HiredSwords,8,FALSE),"")</f>
      </c>
      <c r="F91" s="15">
        <f>IF(C88&lt;&gt;"",VLOOKUP(C88,HiredSwords,9,FALSE),"")</f>
      </c>
      <c r="G91" s="15">
        <f>IF(C88&lt;&gt;"",VLOOKUP(C88,HiredSwords,10,FALSE),"")</f>
      </c>
      <c r="H91" s="15">
        <f>IF(C88&lt;&gt;"",VLOOKUP(C88,HiredSwords,11,FALSE),"")</f>
      </c>
      <c r="I91" s="15">
        <f>IF(C88&lt;&gt;"",VLOOKUP(C88,HiredSwords,12,FALSE),"")</f>
      </c>
      <c r="J91" s="397"/>
      <c r="K91" s="398"/>
      <c r="L91" s="399"/>
      <c r="M91" s="372">
        <f>SUBSTITUTE(IF(C88&lt;&gt;"",VLOOKUP(C88,HiredSwords,16,FALSE),""),0,"")</f>
      </c>
      <c r="N91" s="373"/>
      <c r="O91" s="374"/>
    </row>
    <row r="92" spans="1:15" ht="19.5" customHeight="1">
      <c r="A92" s="11"/>
      <c r="B92" s="10"/>
      <c r="C92" s="10"/>
      <c r="D92" s="10"/>
      <c r="E92" s="10"/>
      <c r="F92" s="10"/>
      <c r="G92" s="10"/>
      <c r="H92" s="10"/>
      <c r="I92" s="12"/>
      <c r="J92" s="343"/>
      <c r="K92" s="365"/>
      <c r="L92" s="365"/>
      <c r="M92" s="372">
        <f>SUBSTITUTE(IF(C88&lt;&gt;"",VLOOKUP(C88,HiredSwords,17,FALSE),""),0,"")</f>
      </c>
      <c r="N92" s="373"/>
      <c r="O92" s="374"/>
    </row>
    <row r="93" spans="1:15" ht="19.5" customHeight="1" thickBot="1">
      <c r="A93" s="257" t="s">
        <v>31</v>
      </c>
      <c r="B93" s="258"/>
      <c r="C93" s="258"/>
      <c r="D93" s="43" t="str">
        <f>IF(M94&lt;&gt;"",VLOOKUP(M94,ArmorSave,2,FALSE),"-")</f>
        <v>-</v>
      </c>
      <c r="E93" s="50"/>
      <c r="F93" s="50"/>
      <c r="G93" s="50"/>
      <c r="H93" s="50"/>
      <c r="I93" s="50"/>
      <c r="J93" s="343"/>
      <c r="K93" s="365"/>
      <c r="L93" s="365"/>
      <c r="M93" s="372">
        <f>SUBSTITUTE(IF(C88&lt;&gt;"",VLOOKUP(C88,HiredSwords,18,FALSE),""),0,"")</f>
      </c>
      <c r="N93" s="373"/>
      <c r="O93" s="374"/>
    </row>
    <row r="94" spans="1:15" ht="19.5" customHeight="1" thickBot="1">
      <c r="A94" s="346"/>
      <c r="B94" s="347"/>
      <c r="C94" s="347"/>
      <c r="D94" s="347"/>
      <c r="E94" s="347"/>
      <c r="F94" s="348"/>
      <c r="G94" s="348"/>
      <c r="H94" s="348"/>
      <c r="I94" s="348"/>
      <c r="J94" s="72" t="s">
        <v>525</v>
      </c>
      <c r="K94" s="368"/>
      <c r="L94" s="369"/>
      <c r="M94" s="56">
        <f>SUBSTITUTE(IF(C88&lt;&gt;"",VLOOKUP(C88,HiredSwords,19,FALSE),""),0,"")</f>
      </c>
      <c r="N94" s="57"/>
      <c r="O94" s="58"/>
    </row>
    <row r="95" spans="1:15" ht="19.5" customHeight="1" thickBot="1">
      <c r="A95" s="159"/>
      <c r="B95" s="159"/>
      <c r="C95" s="159"/>
      <c r="D95" s="159"/>
      <c r="E95" s="159"/>
      <c r="F95" s="159"/>
      <c r="G95" s="358" t="s">
        <v>526</v>
      </c>
      <c r="H95" s="359"/>
      <c r="I95" s="48">
        <f>IF(C88&lt;&gt;"",SUM(L95+O95),0)</f>
        <v>0</v>
      </c>
      <c r="J95" s="338" t="s">
        <v>681</v>
      </c>
      <c r="K95" s="339"/>
      <c r="L95" s="49"/>
      <c r="M95" s="239" t="s">
        <v>534</v>
      </c>
      <c r="N95" s="239"/>
      <c r="O95" s="8"/>
    </row>
    <row r="96" ht="13.5" thickBot="1"/>
    <row r="97" spans="1:15" ht="15">
      <c r="A97" s="271" t="s">
        <v>25</v>
      </c>
      <c r="B97" s="330"/>
      <c r="C97" s="401"/>
      <c r="D97" s="401"/>
      <c r="E97" s="401"/>
      <c r="F97" s="401"/>
      <c r="G97" s="401"/>
      <c r="H97" s="401"/>
      <c r="I97" s="402"/>
      <c r="J97" s="74" t="s">
        <v>682</v>
      </c>
      <c r="K97" s="383">
        <f>IF(C97&lt;&gt;"",VLOOKUP(C97,HiredSwords,20,FALSE),"")</f>
      </c>
      <c r="L97" s="384"/>
      <c r="M97" s="273" t="s">
        <v>17</v>
      </c>
      <c r="N97" s="330"/>
      <c r="O97" s="400"/>
    </row>
    <row r="98" spans="1:15" ht="15.75" thickBot="1">
      <c r="A98" s="338" t="s">
        <v>686</v>
      </c>
      <c r="B98" s="338"/>
      <c r="C98" s="43">
        <f>IF(C97&lt;&gt;"",VLOOKUP(C97,HiredSwords,2,FALSE),"")</f>
      </c>
      <c r="D98" s="338" t="s">
        <v>571</v>
      </c>
      <c r="E98" s="339"/>
      <c r="F98" s="43">
        <f>IF(C97&lt;&gt;"",VLOOKUP(C97,HiredSwords,3,FALSE),0)</f>
        <v>0</v>
      </c>
      <c r="G98" s="182" t="s">
        <v>572</v>
      </c>
      <c r="H98" s="367"/>
      <c r="I98" s="48">
        <f>IF(C97&lt;&gt;"",SUM(L104+O104+VLOOKUP(C97,HiredSwords,13,FALSE)),0)</f>
        <v>0</v>
      </c>
      <c r="J98" s="394">
        <f>SUBSTITUTE(IF(C97&lt;&gt;"",VLOOKUP(C97,HiredSwords,21,FALSE),""),0,"")</f>
      </c>
      <c r="K98" s="395"/>
      <c r="L98" s="396"/>
      <c r="M98" s="372">
        <f>SUBSTITUTE(IF(C97&lt;&gt;"",VLOOKUP(C97,HiredSwords,14,FALSE),""),0,"")</f>
      </c>
      <c r="N98" s="373"/>
      <c r="O98" s="374"/>
    </row>
    <row r="99" spans="1:15" ht="15">
      <c r="A99" s="69" t="s">
        <v>7</v>
      </c>
      <c r="B99" s="70" t="s">
        <v>8</v>
      </c>
      <c r="C99" s="70" t="s">
        <v>9</v>
      </c>
      <c r="D99" s="70" t="s">
        <v>10</v>
      </c>
      <c r="E99" s="70" t="s">
        <v>11</v>
      </c>
      <c r="F99" s="70" t="s">
        <v>12</v>
      </c>
      <c r="G99" s="70" t="s">
        <v>13</v>
      </c>
      <c r="H99" s="70" t="s">
        <v>14</v>
      </c>
      <c r="I99" s="62" t="s">
        <v>15</v>
      </c>
      <c r="J99" s="397"/>
      <c r="K99" s="398"/>
      <c r="L99" s="399"/>
      <c r="M99" s="372">
        <f>SUBSTITUTE(IF(C97&lt;&gt;"",VLOOKUP(C97,HiredSwords,15,FALSE),""),0,"")</f>
      </c>
      <c r="N99" s="373"/>
      <c r="O99" s="374"/>
    </row>
    <row r="100" spans="1:15" ht="15">
      <c r="A100" s="15">
        <f>IF(C97&lt;&gt;"",VLOOKUP(C97,HiredSwords,4,FALSE),"")</f>
      </c>
      <c r="B100" s="15">
        <f>IF(C97&lt;&gt;"",VLOOKUP(C97,HiredSwords,5,FALSE),"")</f>
      </c>
      <c r="C100" s="15">
        <f>IF(C97&lt;&gt;"",VLOOKUP(C97,HiredSwords,6,FALSE),"")</f>
      </c>
      <c r="D100" s="15">
        <f>IF(C97&lt;&gt;"",VLOOKUP(C97,HiredSwords,7,FALSE),"")</f>
      </c>
      <c r="E100" s="15">
        <f>IF(C97&lt;&gt;"",VLOOKUP(C97,HiredSwords,8,FALSE),"")</f>
      </c>
      <c r="F100" s="15">
        <f>IF(C97&lt;&gt;"",VLOOKUP(C97,HiredSwords,9,FALSE),"")</f>
      </c>
      <c r="G100" s="15">
        <f>IF(C97&lt;&gt;"",VLOOKUP(C97,HiredSwords,10,FALSE),"")</f>
      </c>
      <c r="H100" s="15">
        <f>IF(C97&lt;&gt;"",VLOOKUP(C97,HiredSwords,11,FALSE),"")</f>
      </c>
      <c r="I100" s="15">
        <f>IF(C97&lt;&gt;"",VLOOKUP(C97,HiredSwords,12,FALSE),"")</f>
      </c>
      <c r="J100" s="397"/>
      <c r="K100" s="398"/>
      <c r="L100" s="399"/>
      <c r="M100" s="372">
        <f>SUBSTITUTE(IF(C97&lt;&gt;"",VLOOKUP(C97,HiredSwords,16,FALSE),""),0,"")</f>
      </c>
      <c r="N100" s="373"/>
      <c r="O100" s="374"/>
    </row>
    <row r="101" spans="1:15" ht="15">
      <c r="A101" s="11"/>
      <c r="B101" s="10"/>
      <c r="C101" s="10"/>
      <c r="D101" s="10"/>
      <c r="E101" s="10"/>
      <c r="F101" s="10"/>
      <c r="G101" s="10"/>
      <c r="H101" s="10"/>
      <c r="I101" s="12"/>
      <c r="J101" s="343"/>
      <c r="K101" s="365"/>
      <c r="L101" s="365"/>
      <c r="M101" s="372">
        <f>SUBSTITUTE(IF(C97&lt;&gt;"",VLOOKUP(C97,HiredSwords,17,FALSE),""),0,"")</f>
      </c>
      <c r="N101" s="373"/>
      <c r="O101" s="374"/>
    </row>
    <row r="102" spans="1:15" ht="15.75" thickBot="1">
      <c r="A102" s="257" t="s">
        <v>31</v>
      </c>
      <c r="B102" s="258"/>
      <c r="C102" s="258"/>
      <c r="D102" s="43" t="str">
        <f>IF(M103&lt;&gt;"",VLOOKUP(M103,ArmorSave,2,FALSE),"-")</f>
        <v>-</v>
      </c>
      <c r="E102" s="50"/>
      <c r="F102" s="50"/>
      <c r="G102" s="50"/>
      <c r="H102" s="50"/>
      <c r="I102" s="50"/>
      <c r="J102" s="343"/>
      <c r="K102" s="365"/>
      <c r="L102" s="365"/>
      <c r="M102" s="372">
        <f>SUBSTITUTE(IF(C97&lt;&gt;"",VLOOKUP(C97,HiredSwords,18,FALSE),""),0,"")</f>
      </c>
      <c r="N102" s="373"/>
      <c r="O102" s="374"/>
    </row>
    <row r="103" spans="1:15" ht="15.75" thickBot="1">
      <c r="A103" s="346"/>
      <c r="B103" s="347"/>
      <c r="C103" s="347"/>
      <c r="D103" s="347"/>
      <c r="E103" s="347"/>
      <c r="F103" s="348"/>
      <c r="G103" s="348"/>
      <c r="H103" s="348"/>
      <c r="I103" s="348"/>
      <c r="J103" s="72" t="s">
        <v>525</v>
      </c>
      <c r="K103" s="368"/>
      <c r="L103" s="369"/>
      <c r="M103" s="56">
        <f>SUBSTITUTE(IF(C97&lt;&gt;"",VLOOKUP(C97,HiredSwords,19,FALSE),""),0,"")</f>
      </c>
      <c r="N103" s="57"/>
      <c r="O103" s="58"/>
    </row>
    <row r="104" spans="1:15" ht="15.75" thickBot="1">
      <c r="A104" s="159"/>
      <c r="B104" s="159"/>
      <c r="C104" s="159"/>
      <c r="D104" s="159"/>
      <c r="E104" s="159"/>
      <c r="F104" s="159"/>
      <c r="G104" s="358" t="s">
        <v>526</v>
      </c>
      <c r="H104" s="359"/>
      <c r="I104" s="48">
        <f>IF(C97&lt;&gt;"",SUM(L104+O104),0)</f>
        <v>0</v>
      </c>
      <c r="J104" s="338" t="s">
        <v>681</v>
      </c>
      <c r="K104" s="339"/>
      <c r="L104" s="49"/>
      <c r="M104" s="239" t="s">
        <v>534</v>
      </c>
      <c r="N104" s="239"/>
      <c r="O104" s="8"/>
    </row>
    <row r="105" ht="13.5" thickBot="1"/>
    <row r="106" spans="1:15" ht="15">
      <c r="A106" s="271" t="s">
        <v>25</v>
      </c>
      <c r="B106" s="330"/>
      <c r="C106" s="401"/>
      <c r="D106" s="401"/>
      <c r="E106" s="401"/>
      <c r="F106" s="401"/>
      <c r="G106" s="401"/>
      <c r="H106" s="401"/>
      <c r="I106" s="402"/>
      <c r="J106" s="74" t="s">
        <v>682</v>
      </c>
      <c r="K106" s="383">
        <f>IF(C106&lt;&gt;"",VLOOKUP(C106,HiredSwords,20,FALSE),"")</f>
      </c>
      <c r="L106" s="384"/>
      <c r="M106" s="273" t="s">
        <v>17</v>
      </c>
      <c r="N106" s="330"/>
      <c r="O106" s="400"/>
    </row>
    <row r="107" spans="1:15" ht="15.75" thickBot="1">
      <c r="A107" s="338" t="s">
        <v>686</v>
      </c>
      <c r="B107" s="338"/>
      <c r="C107" s="43">
        <f>IF(C106&lt;&gt;"",VLOOKUP(C106,HiredSwords,2,FALSE),"")</f>
      </c>
      <c r="D107" s="338" t="s">
        <v>571</v>
      </c>
      <c r="E107" s="339"/>
      <c r="F107" s="43">
        <f>IF(C106&lt;&gt;"",VLOOKUP(C106,HiredSwords,3,FALSE),0)</f>
        <v>0</v>
      </c>
      <c r="G107" s="182" t="s">
        <v>572</v>
      </c>
      <c r="H107" s="367"/>
      <c r="I107" s="48">
        <f>IF(C106&lt;&gt;"",SUM(L113+O113+VLOOKUP(C106,HiredSwords,13,FALSE)),0)</f>
        <v>0</v>
      </c>
      <c r="J107" s="394">
        <f>SUBSTITUTE(IF(C106&lt;&gt;"",VLOOKUP(C106,HiredSwords,21,FALSE),""),0,"")</f>
      </c>
      <c r="K107" s="395"/>
      <c r="L107" s="396"/>
      <c r="M107" s="372">
        <f>SUBSTITUTE(IF(C106&lt;&gt;"",VLOOKUP(C106,HiredSwords,14,FALSE),""),0,"")</f>
      </c>
      <c r="N107" s="373"/>
      <c r="O107" s="374"/>
    </row>
    <row r="108" spans="1:15" ht="15">
      <c r="A108" s="69" t="s">
        <v>7</v>
      </c>
      <c r="B108" s="70" t="s">
        <v>8</v>
      </c>
      <c r="C108" s="70" t="s">
        <v>9</v>
      </c>
      <c r="D108" s="70" t="s">
        <v>10</v>
      </c>
      <c r="E108" s="70" t="s">
        <v>11</v>
      </c>
      <c r="F108" s="70" t="s">
        <v>12</v>
      </c>
      <c r="G108" s="70" t="s">
        <v>13</v>
      </c>
      <c r="H108" s="70" t="s">
        <v>14</v>
      </c>
      <c r="I108" s="62" t="s">
        <v>15</v>
      </c>
      <c r="J108" s="397"/>
      <c r="K108" s="398"/>
      <c r="L108" s="399"/>
      <c r="M108" s="372">
        <f>SUBSTITUTE(IF(C106&lt;&gt;"",VLOOKUP(C106,HiredSwords,15,FALSE),""),0,"")</f>
      </c>
      <c r="N108" s="373"/>
      <c r="O108" s="374"/>
    </row>
    <row r="109" spans="1:15" ht="15">
      <c r="A109" s="15">
        <f>IF(C106&lt;&gt;"",VLOOKUP(C106,HiredSwords,4,FALSE),"")</f>
      </c>
      <c r="B109" s="15">
        <f>IF(C106&lt;&gt;"",VLOOKUP(C106,HiredSwords,5,FALSE),"")</f>
      </c>
      <c r="C109" s="15">
        <f>IF(C106&lt;&gt;"",VLOOKUP(C106,HiredSwords,6,FALSE),"")</f>
      </c>
      <c r="D109" s="15">
        <f>IF(C106&lt;&gt;"",VLOOKUP(C106,HiredSwords,7,FALSE),"")</f>
      </c>
      <c r="E109" s="15">
        <f>IF(C106&lt;&gt;"",VLOOKUP(C106,HiredSwords,8,FALSE),"")</f>
      </c>
      <c r="F109" s="15">
        <f>IF(C106&lt;&gt;"",VLOOKUP(C106,HiredSwords,9,FALSE),"")</f>
      </c>
      <c r="G109" s="15">
        <f>IF(C106&lt;&gt;"",VLOOKUP(C106,HiredSwords,10,FALSE),"")</f>
      </c>
      <c r="H109" s="15">
        <f>IF(C106&lt;&gt;"",VLOOKUP(C106,HiredSwords,11,FALSE),"")</f>
      </c>
      <c r="I109" s="15">
        <f>IF(C106&lt;&gt;"",VLOOKUP(C106,HiredSwords,12,FALSE),"")</f>
      </c>
      <c r="J109" s="397"/>
      <c r="K109" s="398"/>
      <c r="L109" s="399"/>
      <c r="M109" s="372">
        <f>SUBSTITUTE(IF(C106&lt;&gt;"",VLOOKUP(C106,HiredSwords,16,FALSE),""),0,"")</f>
      </c>
      <c r="N109" s="373"/>
      <c r="O109" s="374"/>
    </row>
    <row r="110" spans="1:15" ht="15">
      <c r="A110" s="11"/>
      <c r="B110" s="10"/>
      <c r="C110" s="10"/>
      <c r="D110" s="10"/>
      <c r="E110" s="10"/>
      <c r="F110" s="10"/>
      <c r="G110" s="10"/>
      <c r="H110" s="10"/>
      <c r="I110" s="12"/>
      <c r="J110" s="343"/>
      <c r="K110" s="365"/>
      <c r="L110" s="365"/>
      <c r="M110" s="372">
        <f>SUBSTITUTE(IF(C106&lt;&gt;"",VLOOKUP(C106,HiredSwords,17,FALSE),""),0,"")</f>
      </c>
      <c r="N110" s="373"/>
      <c r="O110" s="374"/>
    </row>
    <row r="111" spans="1:15" ht="15.75" thickBot="1">
      <c r="A111" s="257" t="s">
        <v>31</v>
      </c>
      <c r="B111" s="258"/>
      <c r="C111" s="258"/>
      <c r="D111" s="43" t="str">
        <f>IF(M112&lt;&gt;"",VLOOKUP(M112,ArmorSave,2,FALSE),"-")</f>
        <v>-</v>
      </c>
      <c r="E111" s="50"/>
      <c r="F111" s="50"/>
      <c r="G111" s="50"/>
      <c r="H111" s="50"/>
      <c r="I111" s="50"/>
      <c r="J111" s="343"/>
      <c r="K111" s="365"/>
      <c r="L111" s="365"/>
      <c r="M111" s="372">
        <f>SUBSTITUTE(IF(C106&lt;&gt;"",VLOOKUP(C106,HiredSwords,18,FALSE),""),0,"")</f>
      </c>
      <c r="N111" s="373"/>
      <c r="O111" s="374"/>
    </row>
    <row r="112" spans="1:15" ht="15.75" thickBot="1">
      <c r="A112" s="346"/>
      <c r="B112" s="347"/>
      <c r="C112" s="347"/>
      <c r="D112" s="347"/>
      <c r="E112" s="347"/>
      <c r="F112" s="348"/>
      <c r="G112" s="348"/>
      <c r="H112" s="348"/>
      <c r="I112" s="348"/>
      <c r="J112" s="72" t="s">
        <v>525</v>
      </c>
      <c r="K112" s="368"/>
      <c r="L112" s="369"/>
      <c r="M112" s="56">
        <f>SUBSTITUTE(IF(C106&lt;&gt;"",VLOOKUP(C106,HiredSwords,19,FALSE),""),0,"")</f>
      </c>
      <c r="N112" s="57"/>
      <c r="O112" s="58"/>
    </row>
    <row r="113" spans="1:15" ht="15.75" thickBot="1">
      <c r="A113" s="159"/>
      <c r="B113" s="159"/>
      <c r="C113" s="159"/>
      <c r="D113" s="159"/>
      <c r="E113" s="159"/>
      <c r="F113" s="159"/>
      <c r="G113" s="358" t="s">
        <v>526</v>
      </c>
      <c r="H113" s="359"/>
      <c r="I113" s="48">
        <f>IF(C106&lt;&gt;"",SUM(L113+O113),0)</f>
        <v>0</v>
      </c>
      <c r="J113" s="338" t="s">
        <v>681</v>
      </c>
      <c r="K113" s="339"/>
      <c r="L113" s="49"/>
      <c r="M113" s="239" t="s">
        <v>534</v>
      </c>
      <c r="N113" s="239"/>
      <c r="O113" s="8"/>
    </row>
    <row r="116" spans="1:15" ht="12.75">
      <c r="A116" s="387" t="s">
        <v>597</v>
      </c>
      <c r="B116" s="337"/>
      <c r="C116" s="337"/>
      <c r="D116" s="337"/>
      <c r="E116" s="337"/>
      <c r="F116" s="337"/>
      <c r="G116" s="337"/>
      <c r="H116" s="337"/>
      <c r="I116" s="337"/>
      <c r="J116" s="337"/>
      <c r="K116" s="337"/>
      <c r="L116" s="337"/>
      <c r="M116" s="337"/>
      <c r="N116" s="337"/>
      <c r="O116" s="337"/>
    </row>
    <row r="117" spans="1:15" ht="12.75">
      <c r="A117" s="337"/>
      <c r="B117" s="337"/>
      <c r="C117" s="337"/>
      <c r="D117" s="337"/>
      <c r="E117" s="337"/>
      <c r="F117" s="337"/>
      <c r="G117" s="337"/>
      <c r="H117" s="337"/>
      <c r="I117" s="337"/>
      <c r="J117" s="337"/>
      <c r="K117" s="337"/>
      <c r="L117" s="337"/>
      <c r="M117" s="337"/>
      <c r="N117" s="337"/>
      <c r="O117" s="337"/>
    </row>
    <row r="118" spans="1:15" ht="13.5" thickBot="1">
      <c r="A118" s="388"/>
      <c r="B118" s="388"/>
      <c r="C118" s="388"/>
      <c r="D118" s="388"/>
      <c r="E118" s="388"/>
      <c r="F118" s="388"/>
      <c r="G118" s="388"/>
      <c r="H118" s="388"/>
      <c r="I118" s="388"/>
      <c r="J118" s="388"/>
      <c r="K118" s="388"/>
      <c r="L118" s="388"/>
      <c r="M118" s="388"/>
      <c r="N118" s="388"/>
      <c r="O118" s="388"/>
    </row>
    <row r="119" spans="1:15" ht="12.75">
      <c r="A119" s="33" t="s">
        <v>882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</row>
    <row r="120" spans="1:15" ht="12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</row>
    <row r="121" spans="1:15" ht="13.5" thickBo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</row>
    <row r="122" spans="1:15" ht="15">
      <c r="A122" s="363" t="s">
        <v>25</v>
      </c>
      <c r="B122" s="364"/>
      <c r="C122" s="381"/>
      <c r="D122" s="381"/>
      <c r="E122" s="381"/>
      <c r="F122" s="381"/>
      <c r="G122" s="381"/>
      <c r="H122" s="381"/>
      <c r="I122" s="382"/>
      <c r="J122" s="74" t="s">
        <v>682</v>
      </c>
      <c r="K122" s="383">
        <f>IF(C122&lt;&gt;"",VLOOKUP(C122,Dramatis,20,FALSE),"")</f>
      </c>
      <c r="L122" s="384"/>
      <c r="M122" s="273" t="s">
        <v>17</v>
      </c>
      <c r="N122" s="330"/>
      <c r="O122" s="400"/>
    </row>
    <row r="123" spans="1:15" ht="15.75" thickBot="1">
      <c r="A123" s="338" t="s">
        <v>686</v>
      </c>
      <c r="B123" s="338"/>
      <c r="C123" s="53">
        <f>IF(C122&lt;&gt;"",VLOOKUP(C122,Dramatis,2,FALSE),"")</f>
      </c>
      <c r="D123" s="338" t="s">
        <v>571</v>
      </c>
      <c r="E123" s="339"/>
      <c r="F123" s="43">
        <f>IF(C122&lt;&gt;"",VLOOKUP(C122,HiredSwords,3,FALSE),0)</f>
        <v>0</v>
      </c>
      <c r="G123" s="182" t="s">
        <v>572</v>
      </c>
      <c r="H123" s="367"/>
      <c r="I123" s="48">
        <f>IF(C122&lt;&gt;"",SUM(L129+O129+VLOOKUP(C122,Dramatis,13,FALSE)),0)</f>
        <v>0</v>
      </c>
      <c r="J123" s="375">
        <f>IF(C122&lt;&gt;"",VLOOKUP(C122,Dramatis,21,FALSE),"")</f>
      </c>
      <c r="K123" s="376"/>
      <c r="L123" s="377"/>
      <c r="M123" s="372">
        <f>SUBSTITUTE(IF(C122&lt;&gt;"",VLOOKUP(C122,Dramatis,14,FALSE),""),0,"")</f>
      </c>
      <c r="N123" s="373"/>
      <c r="O123" s="374"/>
    </row>
    <row r="124" spans="1:15" ht="15">
      <c r="A124" s="69" t="s">
        <v>7</v>
      </c>
      <c r="B124" s="70" t="s">
        <v>8</v>
      </c>
      <c r="C124" s="70" t="s">
        <v>9</v>
      </c>
      <c r="D124" s="70" t="s">
        <v>10</v>
      </c>
      <c r="E124" s="70" t="s">
        <v>11</v>
      </c>
      <c r="F124" s="70" t="s">
        <v>12</v>
      </c>
      <c r="G124" s="70" t="s">
        <v>13</v>
      </c>
      <c r="H124" s="70" t="s">
        <v>14</v>
      </c>
      <c r="I124" s="62" t="s">
        <v>15</v>
      </c>
      <c r="J124" s="378"/>
      <c r="K124" s="379"/>
      <c r="L124" s="380"/>
      <c r="M124" s="372">
        <f>SUBSTITUTE(IF(C122&lt;&gt;"",VLOOKUP(C122,Dramatis,15,FALSE),""),0,"")</f>
      </c>
      <c r="N124" s="373"/>
      <c r="O124" s="374"/>
    </row>
    <row r="125" spans="1:15" ht="15">
      <c r="A125" s="15">
        <f>IF(C122&lt;&gt;"",VLOOKUP(C122,Dramatis,4,FALSE),"")</f>
      </c>
      <c r="B125" s="15">
        <f>IF(C122&lt;&gt;"",VLOOKUP(C122,Dramatis,5,FALSE),"")</f>
      </c>
      <c r="C125" s="15">
        <f>IF(C122&lt;&gt;"",VLOOKUP(C122,Dramatis,6,FALSE),"")</f>
      </c>
      <c r="D125" s="15">
        <f>IF(C122&lt;&gt;"",VLOOKUP(C122,Dramatis,7,FALSE),"")</f>
      </c>
      <c r="E125" s="15">
        <f>IF(C122&lt;&gt;"",VLOOKUP(C122,Dramatis,8,FALSE),"")</f>
      </c>
      <c r="F125" s="15">
        <f>IF(C122&lt;&gt;"",VLOOKUP(C122,Dramatis,9,FALSE),"")</f>
      </c>
      <c r="G125" s="15">
        <f>IF(C122&lt;&gt;"",VLOOKUP(C122,Dramatis,10,FALSE),"")</f>
      </c>
      <c r="H125" s="15">
        <f>IF(C122&lt;&gt;"",VLOOKUP(C122,Dramatis,11,FALSE),"")</f>
      </c>
      <c r="I125" s="15">
        <f>IF(C122&lt;&gt;"",VLOOKUP(C122,Dramatis,12,FALSE),"")</f>
      </c>
      <c r="J125" s="378"/>
      <c r="K125" s="379"/>
      <c r="L125" s="380"/>
      <c r="M125" s="372">
        <f>SUBSTITUTE(IF(C122&lt;&gt;"",VLOOKUP(C122,Dramatis,16,FALSE),""),0,"")</f>
      </c>
      <c r="N125" s="373"/>
      <c r="O125" s="374"/>
    </row>
    <row r="126" spans="1:15" ht="15">
      <c r="A126" s="11"/>
      <c r="B126" s="10"/>
      <c r="C126" s="10"/>
      <c r="D126" s="10"/>
      <c r="E126" s="10"/>
      <c r="F126" s="10"/>
      <c r="G126" s="10"/>
      <c r="H126" s="10"/>
      <c r="I126" s="12"/>
      <c r="J126" s="375">
        <f>IF(C122&lt;&gt;"",VLOOKUP(C122,Dramatis,22,FALSE),"")</f>
      </c>
      <c r="K126" s="376"/>
      <c r="L126" s="377"/>
      <c r="M126" s="372">
        <f>SUBSTITUTE(IF(C122&lt;&gt;"",VLOOKUP(C122,Dramatis,17,FALSE),""),0,"")</f>
      </c>
      <c r="N126" s="373"/>
      <c r="O126" s="374"/>
    </row>
    <row r="127" spans="1:15" ht="15">
      <c r="A127" s="370" t="s">
        <v>31</v>
      </c>
      <c r="B127" s="371"/>
      <c r="C127" s="371"/>
      <c r="D127" s="52" t="str">
        <f>IF(M128&lt;&gt;"",VLOOKUP(M128,ArmorSave,2,FALSE),"-")</f>
        <v>-</v>
      </c>
      <c r="E127" s="76"/>
      <c r="F127" s="76"/>
      <c r="G127" s="76"/>
      <c r="H127" s="76"/>
      <c r="I127" s="76"/>
      <c r="J127" s="378"/>
      <c r="K127" s="379"/>
      <c r="L127" s="380"/>
      <c r="M127" s="372">
        <f>SUBSTITUTE(IF(C122&lt;&gt;"",VLOOKUP(C122,Dramatis,18,FALSE),""),0,"")</f>
      </c>
      <c r="N127" s="373"/>
      <c r="O127" s="374"/>
    </row>
    <row r="128" spans="1:15" ht="15">
      <c r="A128" s="363" t="s">
        <v>525</v>
      </c>
      <c r="B128" s="159"/>
      <c r="C128" s="368"/>
      <c r="D128" s="393"/>
      <c r="E128" s="159"/>
      <c r="F128" s="159"/>
      <c r="G128" s="159"/>
      <c r="H128" s="159"/>
      <c r="I128" s="159"/>
      <c r="J128" s="378"/>
      <c r="K128" s="379"/>
      <c r="L128" s="380"/>
      <c r="M128" s="56">
        <f>SUBSTITUTE(IF(C122&lt;&gt;"",VLOOKUP(C122,Dramatis,19,FALSE),""),0,"")</f>
      </c>
      <c r="N128" s="57"/>
      <c r="O128" s="58"/>
    </row>
    <row r="129" spans="1:15" ht="12.75">
      <c r="A129" s="366"/>
      <c r="B129" s="155"/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367"/>
    </row>
    <row r="130" ht="13.5" thickBot="1"/>
    <row r="131" spans="1:15" ht="15">
      <c r="A131" s="363" t="s">
        <v>25</v>
      </c>
      <c r="B131" s="364"/>
      <c r="C131" s="381"/>
      <c r="D131" s="381"/>
      <c r="E131" s="381"/>
      <c r="F131" s="381"/>
      <c r="G131" s="381"/>
      <c r="H131" s="381"/>
      <c r="I131" s="382"/>
      <c r="J131" s="74" t="s">
        <v>682</v>
      </c>
      <c r="K131" s="383">
        <f>IF(C131&lt;&gt;"",VLOOKUP(C131,Dramatis,20,FALSE),"")</f>
      </c>
      <c r="L131" s="384"/>
      <c r="M131" s="273" t="s">
        <v>17</v>
      </c>
      <c r="N131" s="330"/>
      <c r="O131" s="400"/>
    </row>
    <row r="132" spans="1:15" ht="15.75" thickBot="1">
      <c r="A132" s="338" t="s">
        <v>686</v>
      </c>
      <c r="B132" s="338"/>
      <c r="C132" s="53">
        <f>IF(C131&lt;&gt;"",VLOOKUP(C131,Dramatis,2,FALSE),"")</f>
      </c>
      <c r="D132" s="338" t="s">
        <v>571</v>
      </c>
      <c r="E132" s="339"/>
      <c r="F132" s="43">
        <f>IF(C131&lt;&gt;"",VLOOKUP(C131,HiredSwords,3,FALSE),0)</f>
        <v>0</v>
      </c>
      <c r="G132" s="182" t="s">
        <v>572</v>
      </c>
      <c r="H132" s="367"/>
      <c r="I132" s="48">
        <f>IF(C131&lt;&gt;"",SUM(L138+O138+VLOOKUP(C131,Dramatis,13,FALSE)),0)</f>
        <v>0</v>
      </c>
      <c r="J132" s="375">
        <f>IF(C131&lt;&gt;"",VLOOKUP(C131,Dramatis,21,FALSE),"")</f>
      </c>
      <c r="K132" s="376"/>
      <c r="L132" s="377"/>
      <c r="M132" s="372">
        <f>SUBSTITUTE(IF(C131&lt;&gt;"",VLOOKUP(C131,Dramatis,14,FALSE),""),0,"")</f>
      </c>
      <c r="N132" s="373"/>
      <c r="O132" s="374"/>
    </row>
    <row r="133" spans="1:15" ht="15">
      <c r="A133" s="69" t="s">
        <v>7</v>
      </c>
      <c r="B133" s="70" t="s">
        <v>8</v>
      </c>
      <c r="C133" s="70" t="s">
        <v>9</v>
      </c>
      <c r="D133" s="70" t="s">
        <v>10</v>
      </c>
      <c r="E133" s="70" t="s">
        <v>11</v>
      </c>
      <c r="F133" s="70" t="s">
        <v>12</v>
      </c>
      <c r="G133" s="70" t="s">
        <v>13</v>
      </c>
      <c r="H133" s="70" t="s">
        <v>14</v>
      </c>
      <c r="I133" s="62" t="s">
        <v>15</v>
      </c>
      <c r="J133" s="378"/>
      <c r="K133" s="379"/>
      <c r="L133" s="380"/>
      <c r="M133" s="372">
        <f>SUBSTITUTE(IF(C131&lt;&gt;"",VLOOKUP(C131,Dramatis,15,FALSE),""),0,"")</f>
      </c>
      <c r="N133" s="373"/>
      <c r="O133" s="374"/>
    </row>
    <row r="134" spans="1:15" ht="15">
      <c r="A134" s="15">
        <f>IF(C131&lt;&gt;"",VLOOKUP(C131,Dramatis,4,FALSE),"")</f>
      </c>
      <c r="B134" s="15">
        <f>IF(C131&lt;&gt;"",VLOOKUP(C131,Dramatis,5,FALSE),"")</f>
      </c>
      <c r="C134" s="15">
        <f>IF(C131&lt;&gt;"",VLOOKUP(C131,Dramatis,6,FALSE),"")</f>
      </c>
      <c r="D134" s="15">
        <f>IF(C131&lt;&gt;"",VLOOKUP(C131,Dramatis,7,FALSE),"")</f>
      </c>
      <c r="E134" s="15">
        <f>IF(C131&lt;&gt;"",VLOOKUP(C131,Dramatis,8,FALSE),"")</f>
      </c>
      <c r="F134" s="15">
        <f>IF(C131&lt;&gt;"",VLOOKUP(C131,Dramatis,9,FALSE),"")</f>
      </c>
      <c r="G134" s="15">
        <f>IF(C131&lt;&gt;"",VLOOKUP(C131,Dramatis,10,FALSE),"")</f>
      </c>
      <c r="H134" s="15">
        <f>IF(C131&lt;&gt;"",VLOOKUP(C131,Dramatis,11,FALSE),"")</f>
      </c>
      <c r="I134" s="15">
        <f>IF(C131&lt;&gt;"",VLOOKUP(C131,Dramatis,12,FALSE),"")</f>
      </c>
      <c r="J134" s="378"/>
      <c r="K134" s="379"/>
      <c r="L134" s="380"/>
      <c r="M134" s="372">
        <f>SUBSTITUTE(IF(C131&lt;&gt;"",VLOOKUP(C131,Dramatis,16,FALSE),""),0,"")</f>
      </c>
      <c r="N134" s="373"/>
      <c r="O134" s="374"/>
    </row>
    <row r="135" spans="1:15" ht="15">
      <c r="A135" s="11"/>
      <c r="B135" s="10"/>
      <c r="C135" s="10"/>
      <c r="D135" s="10"/>
      <c r="E135" s="10"/>
      <c r="F135" s="10"/>
      <c r="G135" s="10"/>
      <c r="H135" s="10"/>
      <c r="I135" s="12"/>
      <c r="J135" s="375">
        <f>IF(C131&lt;&gt;"",VLOOKUP(C131,Dramatis,22,FALSE),"")</f>
      </c>
      <c r="K135" s="376"/>
      <c r="L135" s="377"/>
      <c r="M135" s="372">
        <f>SUBSTITUTE(IF(C131&lt;&gt;"",VLOOKUP(C131,Dramatis,17,FALSE),""),0,"")</f>
      </c>
      <c r="N135" s="373"/>
      <c r="O135" s="374"/>
    </row>
    <row r="136" spans="1:15" ht="15">
      <c r="A136" s="370" t="s">
        <v>31</v>
      </c>
      <c r="B136" s="371"/>
      <c r="C136" s="371"/>
      <c r="D136" s="52" t="str">
        <f>IF(M137&lt;&gt;"",VLOOKUP(M137,ArmorSave,2,FALSE),"-")</f>
        <v>-</v>
      </c>
      <c r="E136" s="76"/>
      <c r="F136" s="76"/>
      <c r="G136" s="76"/>
      <c r="H136" s="76"/>
      <c r="I136" s="76"/>
      <c r="J136" s="378"/>
      <c r="K136" s="379"/>
      <c r="L136" s="380"/>
      <c r="M136" s="372">
        <f>SUBSTITUTE(IF(C131&lt;&gt;"",VLOOKUP(C131,Dramatis,18,FALSE),""),0,"")</f>
      </c>
      <c r="N136" s="373"/>
      <c r="O136" s="374"/>
    </row>
    <row r="137" spans="1:15" ht="15">
      <c r="A137" s="363" t="s">
        <v>525</v>
      </c>
      <c r="B137" s="159"/>
      <c r="C137" s="368"/>
      <c r="D137" s="393"/>
      <c r="E137" s="159"/>
      <c r="F137" s="159"/>
      <c r="G137" s="159"/>
      <c r="H137" s="159"/>
      <c r="I137" s="159"/>
      <c r="J137" s="378"/>
      <c r="K137" s="379"/>
      <c r="L137" s="380"/>
      <c r="M137" s="56">
        <f>SUBSTITUTE(IF(C131&lt;&gt;"",VLOOKUP(C131,Dramatis,19,FALSE),""),0,"")</f>
      </c>
      <c r="N137" s="57"/>
      <c r="O137" s="58"/>
    </row>
    <row r="138" spans="1:15" ht="12.75">
      <c r="A138" s="366"/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367"/>
    </row>
  </sheetData>
  <mergeCells count="263">
    <mergeCell ref="M122:O122"/>
    <mergeCell ref="M131:O131"/>
    <mergeCell ref="C137:D137"/>
    <mergeCell ref="M88:O88"/>
    <mergeCell ref="G95:H95"/>
    <mergeCell ref="M97:O97"/>
    <mergeCell ref="G104:H104"/>
    <mergeCell ref="A102:C102"/>
    <mergeCell ref="M102:O102"/>
    <mergeCell ref="J102:L102"/>
    <mergeCell ref="A1:O3"/>
    <mergeCell ref="G9:I9"/>
    <mergeCell ref="K12:L12"/>
    <mergeCell ref="E13:H13"/>
    <mergeCell ref="J13:K13"/>
    <mergeCell ref="M10:N10"/>
    <mergeCell ref="A13:D13"/>
    <mergeCell ref="A12:B12"/>
    <mergeCell ref="J7:L7"/>
    <mergeCell ref="M7:N7"/>
    <mergeCell ref="K68:L68"/>
    <mergeCell ref="M28:N28"/>
    <mergeCell ref="J29:L29"/>
    <mergeCell ref="M29:N29"/>
    <mergeCell ref="J30:L30"/>
    <mergeCell ref="M30:N30"/>
    <mergeCell ref="M31:N31"/>
    <mergeCell ref="M32:N32"/>
    <mergeCell ref="M33:N33"/>
    <mergeCell ref="A32:L33"/>
    <mergeCell ref="J101:L101"/>
    <mergeCell ref="A98:B98"/>
    <mergeCell ref="E69:H69"/>
    <mergeCell ref="J69:K69"/>
    <mergeCell ref="C88:I88"/>
    <mergeCell ref="K88:L88"/>
    <mergeCell ref="A93:C93"/>
    <mergeCell ref="J95:K95"/>
    <mergeCell ref="M99:O99"/>
    <mergeCell ref="M93:O93"/>
    <mergeCell ref="M98:O98"/>
    <mergeCell ref="M95:N95"/>
    <mergeCell ref="M69:N69"/>
    <mergeCell ref="A69:D69"/>
    <mergeCell ref="G107:H107"/>
    <mergeCell ref="M107:O107"/>
    <mergeCell ref="J104:K104"/>
    <mergeCell ref="M104:N104"/>
    <mergeCell ref="C106:I106"/>
    <mergeCell ref="K106:L106"/>
    <mergeCell ref="D89:E89"/>
    <mergeCell ref="A88:B88"/>
    <mergeCell ref="M20:N20"/>
    <mergeCell ref="M23:N23"/>
    <mergeCell ref="A50:B50"/>
    <mergeCell ref="C50:I50"/>
    <mergeCell ref="A26:B26"/>
    <mergeCell ref="C26:I26"/>
    <mergeCell ref="M26:N26"/>
    <mergeCell ref="J27:L27"/>
    <mergeCell ref="M27:N27"/>
    <mergeCell ref="J28:L28"/>
    <mergeCell ref="M50:N50"/>
    <mergeCell ref="J64:L64"/>
    <mergeCell ref="A85:O87"/>
    <mergeCell ref="M18:N18"/>
    <mergeCell ref="J19:L19"/>
    <mergeCell ref="M19:N19"/>
    <mergeCell ref="A21:L22"/>
    <mergeCell ref="M21:N21"/>
    <mergeCell ref="M22:N22"/>
    <mergeCell ref="J20:L20"/>
    <mergeCell ref="J18:L18"/>
    <mergeCell ref="A97:B97"/>
    <mergeCell ref="C97:I97"/>
    <mergeCell ref="K97:L97"/>
    <mergeCell ref="A95:F95"/>
    <mergeCell ref="A94:I94"/>
    <mergeCell ref="G89:H89"/>
    <mergeCell ref="J50:L50"/>
    <mergeCell ref="J63:L63"/>
    <mergeCell ref="A89:B89"/>
    <mergeCell ref="J17:L17"/>
    <mergeCell ref="M17:N17"/>
    <mergeCell ref="J16:L16"/>
    <mergeCell ref="M16:N16"/>
    <mergeCell ref="M11:N11"/>
    <mergeCell ref="G12:H12"/>
    <mergeCell ref="A10:L11"/>
    <mergeCell ref="J8:L8"/>
    <mergeCell ref="M8:N8"/>
    <mergeCell ref="J9:L9"/>
    <mergeCell ref="M9:N9"/>
    <mergeCell ref="A9:C9"/>
    <mergeCell ref="D12:E12"/>
    <mergeCell ref="E9:F9"/>
    <mergeCell ref="M15:N15"/>
    <mergeCell ref="M13:N13"/>
    <mergeCell ref="K15:L15"/>
    <mergeCell ref="M12:N12"/>
    <mergeCell ref="M4:N4"/>
    <mergeCell ref="A5:B5"/>
    <mergeCell ref="C5:I5"/>
    <mergeCell ref="J5:L5"/>
    <mergeCell ref="M5:N5"/>
    <mergeCell ref="K4:L4"/>
    <mergeCell ref="A4:B4"/>
    <mergeCell ref="C4:I4"/>
    <mergeCell ref="A16:B16"/>
    <mergeCell ref="C16:I16"/>
    <mergeCell ref="A15:B15"/>
    <mergeCell ref="C15:I15"/>
    <mergeCell ref="M6:N6"/>
    <mergeCell ref="A111:C111"/>
    <mergeCell ref="G98:H98"/>
    <mergeCell ref="A107:B107"/>
    <mergeCell ref="A106:B106"/>
    <mergeCell ref="A104:F104"/>
    <mergeCell ref="A103:I103"/>
    <mergeCell ref="D107:E107"/>
    <mergeCell ref="D98:E98"/>
    <mergeCell ref="E54:F54"/>
    <mergeCell ref="J53:L53"/>
    <mergeCell ref="M53:N53"/>
    <mergeCell ref="M54:N54"/>
    <mergeCell ref="M64:N64"/>
    <mergeCell ref="M63:N63"/>
    <mergeCell ref="M57:N57"/>
    <mergeCell ref="M55:N55"/>
    <mergeCell ref="M56:N56"/>
    <mergeCell ref="M58:N58"/>
    <mergeCell ref="K57:L57"/>
    <mergeCell ref="J51:L51"/>
    <mergeCell ref="M51:N51"/>
    <mergeCell ref="J52:L52"/>
    <mergeCell ref="M52:N52"/>
    <mergeCell ref="C122:I122"/>
    <mergeCell ref="K122:L122"/>
    <mergeCell ref="A112:I112"/>
    <mergeCell ref="J65:L65"/>
    <mergeCell ref="A116:O118"/>
    <mergeCell ref="A122:B122"/>
    <mergeCell ref="J113:K113"/>
    <mergeCell ref="M113:N113"/>
    <mergeCell ref="A113:F113"/>
    <mergeCell ref="J107:L109"/>
    <mergeCell ref="M60:N60"/>
    <mergeCell ref="J61:L61"/>
    <mergeCell ref="M61:N61"/>
    <mergeCell ref="D68:E68"/>
    <mergeCell ref="M68:N68"/>
    <mergeCell ref="J62:L62"/>
    <mergeCell ref="A66:L67"/>
    <mergeCell ref="M67:N67"/>
    <mergeCell ref="A68:B68"/>
    <mergeCell ref="G68:H68"/>
    <mergeCell ref="M110:O110"/>
    <mergeCell ref="J111:L111"/>
    <mergeCell ref="J110:L110"/>
    <mergeCell ref="M111:O111"/>
    <mergeCell ref="M108:O108"/>
    <mergeCell ref="M109:O109"/>
    <mergeCell ref="J89:L91"/>
    <mergeCell ref="J92:L92"/>
    <mergeCell ref="J93:L93"/>
    <mergeCell ref="J98:L100"/>
    <mergeCell ref="K103:L103"/>
    <mergeCell ref="M106:O106"/>
    <mergeCell ref="M100:O100"/>
    <mergeCell ref="M101:O101"/>
    <mergeCell ref="A129:O129"/>
    <mergeCell ref="A123:B123"/>
    <mergeCell ref="D123:E123"/>
    <mergeCell ref="A127:C127"/>
    <mergeCell ref="M127:O127"/>
    <mergeCell ref="G123:H123"/>
    <mergeCell ref="J123:L125"/>
    <mergeCell ref="J126:L128"/>
    <mergeCell ref="M123:O123"/>
    <mergeCell ref="C128:D128"/>
    <mergeCell ref="M124:O124"/>
    <mergeCell ref="M125:O125"/>
    <mergeCell ref="M126:O126"/>
    <mergeCell ref="M62:N62"/>
    <mergeCell ref="M65:N65"/>
    <mergeCell ref="M66:N66"/>
    <mergeCell ref="M92:O92"/>
    <mergeCell ref="M89:O89"/>
    <mergeCell ref="M90:O90"/>
    <mergeCell ref="M91:O91"/>
    <mergeCell ref="G54:I54"/>
    <mergeCell ref="G57:H57"/>
    <mergeCell ref="E58:H58"/>
    <mergeCell ref="D57:E57"/>
    <mergeCell ref="A58:D58"/>
    <mergeCell ref="A55:L56"/>
    <mergeCell ref="A57:B57"/>
    <mergeCell ref="J54:L54"/>
    <mergeCell ref="J58:K58"/>
    <mergeCell ref="A20:C20"/>
    <mergeCell ref="E20:F20"/>
    <mergeCell ref="G20:I20"/>
    <mergeCell ref="G23:H23"/>
    <mergeCell ref="A23:B23"/>
    <mergeCell ref="D23:E23"/>
    <mergeCell ref="M24:N24"/>
    <mergeCell ref="A27:B27"/>
    <mergeCell ref="C27:I27"/>
    <mergeCell ref="A31:C31"/>
    <mergeCell ref="E31:F31"/>
    <mergeCell ref="G31:I31"/>
    <mergeCell ref="J31:L31"/>
    <mergeCell ref="A24:D24"/>
    <mergeCell ref="E24:H24"/>
    <mergeCell ref="J24:K24"/>
    <mergeCell ref="A34:B34"/>
    <mergeCell ref="G34:H34"/>
    <mergeCell ref="K34:L34"/>
    <mergeCell ref="M34:N34"/>
    <mergeCell ref="D34:E34"/>
    <mergeCell ref="A35:D35"/>
    <mergeCell ref="E35:H35"/>
    <mergeCell ref="J35:K35"/>
    <mergeCell ref="M35:N35"/>
    <mergeCell ref="M49:N49"/>
    <mergeCell ref="A61:B61"/>
    <mergeCell ref="C61:I61"/>
    <mergeCell ref="A65:C65"/>
    <mergeCell ref="E65:F65"/>
    <mergeCell ref="G65:I65"/>
    <mergeCell ref="K60:L60"/>
    <mergeCell ref="A60:B60"/>
    <mergeCell ref="C60:I60"/>
    <mergeCell ref="A54:C54"/>
    <mergeCell ref="J6:L6"/>
    <mergeCell ref="A131:B131"/>
    <mergeCell ref="C131:I131"/>
    <mergeCell ref="K131:L131"/>
    <mergeCell ref="K26:L26"/>
    <mergeCell ref="K49:L49"/>
    <mergeCell ref="K23:L23"/>
    <mergeCell ref="A46:O48"/>
    <mergeCell ref="A49:B49"/>
    <mergeCell ref="C49:I49"/>
    <mergeCell ref="A132:B132"/>
    <mergeCell ref="D132:E132"/>
    <mergeCell ref="G132:H132"/>
    <mergeCell ref="J132:L134"/>
    <mergeCell ref="M132:O132"/>
    <mergeCell ref="M133:O133"/>
    <mergeCell ref="M134:O134"/>
    <mergeCell ref="J135:L137"/>
    <mergeCell ref="M135:O135"/>
    <mergeCell ref="A138:O138"/>
    <mergeCell ref="K94:L94"/>
    <mergeCell ref="K112:L112"/>
    <mergeCell ref="A128:B128"/>
    <mergeCell ref="E128:I128"/>
    <mergeCell ref="A137:B137"/>
    <mergeCell ref="E137:I137"/>
    <mergeCell ref="A136:C136"/>
    <mergeCell ref="M136:O136"/>
    <mergeCell ref="G113:H113"/>
  </mergeCells>
  <dataValidations count="12">
    <dataValidation type="list" allowBlank="1" showInputMessage="1" showErrorMessage="1" sqref="C128 G31 K103 K94 G65 G54 K112 G20 G9 C137">
      <formula1>Status</formula1>
    </dataValidation>
    <dataValidation type="list" allowBlank="1" showInputMessage="1" showErrorMessage="1" sqref="C27:I27 C50:I50 C5:I5 C16:I16 C61:I61">
      <formula1>INDIRECT(ShortHench)</formula1>
    </dataValidation>
    <dataValidation type="list" allowBlank="1" showInputMessage="1" showErrorMessage="1" sqref="C122:I122 C131:I131">
      <formula1>DP</formula1>
    </dataValidation>
    <dataValidation type="list" allowBlank="1" showInputMessage="1" showErrorMessage="1" sqref="C88:I88 C97:I97 C106:I106">
      <formula1>HS</formula1>
    </dataValidation>
    <dataValidation type="list" allowBlank="1" showInputMessage="1" showErrorMessage="1" sqref="M12:N12 M57:N57 M23:N23 M34:N34 M68:N68">
      <formula1>IF(Creation="Creation",INDIRECT(VLOOKUP($C5,Stats,14,FALSE)),Items)</formula1>
    </dataValidation>
    <dataValidation type="list" allowBlank="1" showInputMessage="1" showErrorMessage="1" sqref="M11:N11 M56:N56 M22:N22 M33:N33 M67:N67">
      <formula1>IF(Creation="Creation",INDIRECT(VLOOKUP($C5,Stats,14,FALSE)),Items)</formula1>
    </dataValidation>
    <dataValidation type="list" allowBlank="1" showInputMessage="1" showErrorMessage="1" sqref="M10:N10 M55:N55 M21:N21 M32:N32 M66:N66">
      <formula1>IF(Creation="Creation",INDIRECT(VLOOKUP($C5,Stats,14,FALSE)),Items)</formula1>
    </dataValidation>
    <dataValidation type="list" allowBlank="1" showInputMessage="1" showErrorMessage="1" sqref="M9:N9 M54:N54 M20:N20 M31:N31 M65:N65">
      <formula1>IF(Creation="Creation",INDIRECT(VLOOKUP($C5,Stats,14,FALSE)),Items)</formula1>
    </dataValidation>
    <dataValidation type="list" allowBlank="1" showInputMessage="1" showErrorMessage="1" sqref="M8:N8 M53:N53 M19:N19 M30:N30 M64:N64">
      <formula1>IF(Creation="Creation",INDIRECT(VLOOKUP($C5,Stats,14,FALSE)),Items)</formula1>
    </dataValidation>
    <dataValidation type="list" allowBlank="1" showInputMessage="1" showErrorMessage="1" sqref="M7:N7 M52:N52 M18:N18 M29:N29 M63:N63">
      <formula1>IF(Creation="Creation",INDIRECT(VLOOKUP($C5,Stats,14,FALSE)),Items)</formula1>
    </dataValidation>
    <dataValidation type="list" allowBlank="1" showInputMessage="1" showErrorMessage="1" sqref="M6:N6 M51:N51 M17:N17 M28:N28 M62:N62">
      <formula1>IF(Creation="Creation",INDIRECT(VLOOKUP($C5,Stats,14,FALSE)),Items)</formula1>
    </dataValidation>
    <dataValidation type="list" allowBlank="1" showInputMessage="1" showErrorMessage="1" sqref="M5:N5 M50:N50 M16:N16 M27:N27 M61:N61">
      <formula1>IF(Creation="Creation",INDIRECT(VLOOKUP($C5,Stats,14,FALSE)),Items)</formula1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D36"/>
  <sheetViews>
    <sheetView workbookViewId="0" topLeftCell="A1">
      <selection activeCell="A2" sqref="A2"/>
    </sheetView>
  </sheetViews>
  <sheetFormatPr defaultColWidth="9.140625" defaultRowHeight="12.75"/>
  <cols>
    <col min="1" max="1" width="22.7109375" style="0" customWidth="1"/>
    <col min="2" max="2" width="9.421875" style="0" bestFit="1" customWidth="1"/>
    <col min="3" max="3" width="9.421875" style="0" customWidth="1"/>
    <col min="4" max="4" width="15.00390625" style="0" bestFit="1" customWidth="1"/>
  </cols>
  <sheetData>
    <row r="1" spans="1:4" ht="12.75">
      <c r="A1" s="14" t="s">
        <v>103</v>
      </c>
      <c r="B1" s="14" t="s">
        <v>1073</v>
      </c>
      <c r="C1" s="14" t="s">
        <v>1074</v>
      </c>
      <c r="D1" s="14" t="s">
        <v>537</v>
      </c>
    </row>
    <row r="2" spans="1:4" ht="12.75">
      <c r="A2" s="77"/>
      <c r="B2" s="34"/>
      <c r="C2" s="34"/>
      <c r="D2" s="40">
        <f aca="true" t="shared" si="0" ref="D2:D35">IF(B2="S",ROUNDDOWN(VLOOKUP(A2,MasterItems,2,FALSE)/2,0),IF(B2="B",(VLOOKUP(A2,MasterItems,2,FALSE)*-1),IF(B2="U",(VLOOKUP(A2,MasterItems,2,FALSE)),0)))*C2</f>
        <v>0</v>
      </c>
    </row>
    <row r="3" spans="1:4" ht="12.75">
      <c r="A3" s="77"/>
      <c r="B3" s="34"/>
      <c r="C3" s="34"/>
      <c r="D3" s="40">
        <f t="shared" si="0"/>
        <v>0</v>
      </c>
    </row>
    <row r="4" spans="1:4" ht="12.75">
      <c r="A4" s="77"/>
      <c r="B4" s="34"/>
      <c r="C4" s="34"/>
      <c r="D4" s="40">
        <f t="shared" si="0"/>
        <v>0</v>
      </c>
    </row>
    <row r="5" spans="1:4" ht="12.75">
      <c r="A5" s="77"/>
      <c r="B5" s="34"/>
      <c r="C5" s="34"/>
      <c r="D5" s="40">
        <f t="shared" si="0"/>
        <v>0</v>
      </c>
    </row>
    <row r="6" spans="1:4" ht="12.75">
      <c r="A6" s="77"/>
      <c r="B6" s="34"/>
      <c r="C6" s="34"/>
      <c r="D6" s="40">
        <f t="shared" si="0"/>
        <v>0</v>
      </c>
    </row>
    <row r="7" spans="1:4" ht="12.75">
      <c r="A7" s="77"/>
      <c r="B7" s="34"/>
      <c r="C7" s="34"/>
      <c r="D7" s="40">
        <f t="shared" si="0"/>
        <v>0</v>
      </c>
    </row>
    <row r="8" spans="1:4" ht="12.75">
      <c r="A8" s="77"/>
      <c r="B8" s="34"/>
      <c r="C8" s="34"/>
      <c r="D8" s="40">
        <f t="shared" si="0"/>
        <v>0</v>
      </c>
    </row>
    <row r="9" spans="1:4" ht="12.75">
      <c r="A9" s="77"/>
      <c r="B9" s="34"/>
      <c r="C9" s="34"/>
      <c r="D9" s="40">
        <f t="shared" si="0"/>
        <v>0</v>
      </c>
    </row>
    <row r="10" spans="1:4" ht="12.75">
      <c r="A10" s="77"/>
      <c r="B10" s="34"/>
      <c r="C10" s="34"/>
      <c r="D10" s="40">
        <f t="shared" si="0"/>
        <v>0</v>
      </c>
    </row>
    <row r="11" spans="1:4" ht="12.75">
      <c r="A11" s="77"/>
      <c r="B11" s="34"/>
      <c r="C11" s="34"/>
      <c r="D11" s="40">
        <f t="shared" si="0"/>
        <v>0</v>
      </c>
    </row>
    <row r="12" spans="1:4" ht="12.75">
      <c r="A12" s="77"/>
      <c r="B12" s="34"/>
      <c r="C12" s="34"/>
      <c r="D12" s="40">
        <f t="shared" si="0"/>
        <v>0</v>
      </c>
    </row>
    <row r="13" spans="1:4" ht="12.75">
      <c r="A13" s="77"/>
      <c r="B13" s="34"/>
      <c r="C13" s="34"/>
      <c r="D13" s="40">
        <f t="shared" si="0"/>
        <v>0</v>
      </c>
    </row>
    <row r="14" spans="1:4" ht="12.75">
      <c r="A14" s="77"/>
      <c r="B14" s="34"/>
      <c r="C14" s="34"/>
      <c r="D14" s="40">
        <f t="shared" si="0"/>
        <v>0</v>
      </c>
    </row>
    <row r="15" spans="1:4" ht="12.75">
      <c r="A15" s="77"/>
      <c r="B15" s="34"/>
      <c r="C15" s="34"/>
      <c r="D15" s="40">
        <f t="shared" si="0"/>
        <v>0</v>
      </c>
    </row>
    <row r="16" spans="1:4" ht="12.75">
      <c r="A16" s="77"/>
      <c r="B16" s="34"/>
      <c r="C16" s="34"/>
      <c r="D16" s="40">
        <f t="shared" si="0"/>
        <v>0</v>
      </c>
    </row>
    <row r="17" spans="1:4" ht="12.75">
      <c r="A17" s="77"/>
      <c r="B17" s="34"/>
      <c r="C17" s="34"/>
      <c r="D17" s="40">
        <f t="shared" si="0"/>
        <v>0</v>
      </c>
    </row>
    <row r="18" spans="1:4" ht="12.75">
      <c r="A18" s="77"/>
      <c r="B18" s="34"/>
      <c r="C18" s="34"/>
      <c r="D18" s="40">
        <f t="shared" si="0"/>
        <v>0</v>
      </c>
    </row>
    <row r="19" spans="1:4" ht="12.75">
      <c r="A19" s="77"/>
      <c r="B19" s="34"/>
      <c r="C19" s="34"/>
      <c r="D19" s="40">
        <f t="shared" si="0"/>
        <v>0</v>
      </c>
    </row>
    <row r="20" spans="1:4" ht="12.75">
      <c r="A20" s="77"/>
      <c r="B20" s="34"/>
      <c r="C20" s="34"/>
      <c r="D20" s="40">
        <f t="shared" si="0"/>
        <v>0</v>
      </c>
    </row>
    <row r="21" spans="1:4" ht="12.75">
      <c r="A21" s="77"/>
      <c r="B21" s="34"/>
      <c r="C21" s="34"/>
      <c r="D21" s="40">
        <f t="shared" si="0"/>
        <v>0</v>
      </c>
    </row>
    <row r="22" spans="1:4" ht="12.75">
      <c r="A22" s="77"/>
      <c r="B22" s="34"/>
      <c r="C22" s="34"/>
      <c r="D22" s="40">
        <f t="shared" si="0"/>
        <v>0</v>
      </c>
    </row>
    <row r="23" spans="1:4" ht="12.75">
      <c r="A23" s="77"/>
      <c r="B23" s="34"/>
      <c r="C23" s="34"/>
      <c r="D23" s="40">
        <f t="shared" si="0"/>
        <v>0</v>
      </c>
    </row>
    <row r="24" spans="1:4" ht="12.75">
      <c r="A24" s="77"/>
      <c r="B24" s="34"/>
      <c r="C24" s="34"/>
      <c r="D24" s="40">
        <f t="shared" si="0"/>
        <v>0</v>
      </c>
    </row>
    <row r="25" spans="1:4" ht="12.75">
      <c r="A25" s="77"/>
      <c r="B25" s="34"/>
      <c r="C25" s="34"/>
      <c r="D25" s="40">
        <f t="shared" si="0"/>
        <v>0</v>
      </c>
    </row>
    <row r="26" spans="1:4" ht="12.75">
      <c r="A26" s="77"/>
      <c r="B26" s="34"/>
      <c r="C26" s="34"/>
      <c r="D26" s="40">
        <f t="shared" si="0"/>
        <v>0</v>
      </c>
    </row>
    <row r="27" spans="1:4" ht="12.75">
      <c r="A27" s="77"/>
      <c r="B27" s="34"/>
      <c r="C27" s="34"/>
      <c r="D27" s="40">
        <f t="shared" si="0"/>
        <v>0</v>
      </c>
    </row>
    <row r="28" spans="1:4" ht="12.75">
      <c r="A28" s="77"/>
      <c r="B28" s="34"/>
      <c r="C28" s="34"/>
      <c r="D28" s="40">
        <f t="shared" si="0"/>
        <v>0</v>
      </c>
    </row>
    <row r="29" spans="1:4" ht="12.75">
      <c r="A29" s="77"/>
      <c r="B29" s="34"/>
      <c r="C29" s="34"/>
      <c r="D29" s="40">
        <f t="shared" si="0"/>
        <v>0</v>
      </c>
    </row>
    <row r="30" spans="1:4" ht="12.75">
      <c r="A30" s="77"/>
      <c r="B30" s="34"/>
      <c r="C30" s="34"/>
      <c r="D30" s="40">
        <f t="shared" si="0"/>
        <v>0</v>
      </c>
    </row>
    <row r="31" spans="1:4" ht="12.75">
      <c r="A31" s="77"/>
      <c r="B31" s="34"/>
      <c r="C31" s="34"/>
      <c r="D31" s="40">
        <f t="shared" si="0"/>
        <v>0</v>
      </c>
    </row>
    <row r="32" spans="1:4" ht="12.75">
      <c r="A32" s="77"/>
      <c r="B32" s="34"/>
      <c r="C32" s="34"/>
      <c r="D32" s="40">
        <f t="shared" si="0"/>
        <v>0</v>
      </c>
    </row>
    <row r="33" spans="1:4" ht="12.75">
      <c r="A33" s="77"/>
      <c r="B33" s="34"/>
      <c r="C33" s="34"/>
      <c r="D33" s="40">
        <f t="shared" si="0"/>
        <v>0</v>
      </c>
    </row>
    <row r="34" spans="1:4" ht="12.75">
      <c r="A34" s="77"/>
      <c r="B34" s="34"/>
      <c r="C34" s="34"/>
      <c r="D34" s="40">
        <f t="shared" si="0"/>
        <v>0</v>
      </c>
    </row>
    <row r="35" spans="1:4" ht="12.75">
      <c r="A35" s="77"/>
      <c r="B35" s="34"/>
      <c r="C35" s="34"/>
      <c r="D35" s="40">
        <f t="shared" si="0"/>
        <v>0</v>
      </c>
    </row>
    <row r="36" spans="2:4" ht="12.75">
      <c r="B36" t="s">
        <v>536</v>
      </c>
      <c r="D36" s="40">
        <f>SUM(D2:D35)</f>
        <v>0</v>
      </c>
    </row>
  </sheetData>
  <dataValidations count="1">
    <dataValidation type="list" allowBlank="1" showInputMessage="1" showErrorMessage="1" sqref="A2:A35">
      <formula1>Items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N648"/>
  <sheetViews>
    <sheetView workbookViewId="0" topLeftCell="A1">
      <pane xSplit="14" ySplit="4" topLeftCell="O5" activePane="bottomRight" state="frozen"/>
      <selection pane="topLeft" activeCell="A1" sqref="A1"/>
      <selection pane="topRight" activeCell="O1" sqref="O1"/>
      <selection pane="bottomLeft" activeCell="A5" sqref="A5"/>
      <selection pane="bottomRight" activeCell="N636" sqref="N636"/>
    </sheetView>
  </sheetViews>
  <sheetFormatPr defaultColWidth="9.140625" defaultRowHeight="12.75"/>
  <cols>
    <col min="3" max="10" width="4.57421875" style="0" customWidth="1"/>
  </cols>
  <sheetData>
    <row r="1" spans="1:14" ht="15.75" thickTop="1">
      <c r="A1" s="144" t="s">
        <v>1003</v>
      </c>
      <c r="B1" s="435">
        <f>SUBSTITUTE(Heroes!F$1,0,"")</f>
      </c>
      <c r="C1" s="436"/>
      <c r="D1" s="436"/>
      <c r="E1" s="437"/>
      <c r="F1" s="437"/>
      <c r="G1" s="437"/>
      <c r="H1" s="437"/>
      <c r="I1" s="437"/>
      <c r="J1" s="437"/>
      <c r="K1" s="437"/>
      <c r="L1" s="437"/>
      <c r="M1" s="437"/>
      <c r="N1" s="438"/>
    </row>
    <row r="2" spans="1:14" ht="12.75">
      <c r="A2" s="445" t="s">
        <v>1005</v>
      </c>
      <c r="B2" s="446"/>
      <c r="C2" s="447">
        <f>SUM('Campaign Record'!N3+'Stored Equipment'!D36)-Heroes!E5+Reference!A7</f>
        <v>500</v>
      </c>
      <c r="D2" s="448"/>
      <c r="E2" s="439" t="s">
        <v>1006</v>
      </c>
      <c r="F2" s="439"/>
      <c r="G2" s="441">
        <f>L7+L63+L92+L122+L151+L181+L210+L240+L269+L299+L328+L358+L387+L417+L446+L476+L505+L535+L564+L594+L623</f>
        <v>0</v>
      </c>
      <c r="H2" s="442"/>
      <c r="I2" s="446" t="s">
        <v>788</v>
      </c>
      <c r="J2" s="446"/>
      <c r="K2" s="446"/>
      <c r="L2" s="446"/>
      <c r="M2" s="446"/>
      <c r="N2" s="145">
        <f>SUM(E20+E76+E105+E135+E164+E194+E223+E253+E282+E312+E341+E371+E400+E430+E459+E489+E518+E548+E577+E607+E636-J20-J76-J105-J135-J164-J194-J223-J253-J282-J312-J341-J371-J400-J430-J459-J489-J518-J548-J577-J607-J636)</f>
        <v>0</v>
      </c>
    </row>
    <row r="3" spans="1:14" ht="13.5" thickBot="1">
      <c r="A3" s="461" t="s">
        <v>1004</v>
      </c>
      <c r="B3" s="462"/>
      <c r="C3" s="449">
        <f>SUM(J18-M18+J74-M74+J103-M103+J133-M133+J162-M162+J192-M192+J221-M221+J251-M251+J280-M280+J310-M310+J339-M339+J369-M369+J398-M398+J428-M428+J457-M457+J487-M487+J516-M516+J546-M546+J575-M575+J605-M605+J634-M634)</f>
        <v>0</v>
      </c>
      <c r="D3" s="450"/>
      <c r="E3" s="440" t="s">
        <v>1007</v>
      </c>
      <c r="F3" s="440"/>
      <c r="G3" s="443">
        <f>N7+N63+N92+N122+N151+N181+N210+N240+N269+N299+N328+N358+N387+N417+N446+N476+N505+N535+N564+N594+N623</f>
        <v>0</v>
      </c>
      <c r="H3" s="444"/>
      <c r="I3" s="456" t="s">
        <v>787</v>
      </c>
      <c r="J3" s="457"/>
      <c r="K3" s="458"/>
      <c r="L3" s="458"/>
      <c r="M3" s="459"/>
      <c r="N3" s="146">
        <f>SUM(N32+N88+N117+N147+N176+N206+N235+N265+N294+N324+N353+N383+N412+N442+N471+N501+N530+N560+N589+N619+N648)</f>
        <v>0</v>
      </c>
    </row>
    <row r="4" spans="1:14" ht="18.75" thickBot="1">
      <c r="A4" s="463" t="s">
        <v>1293</v>
      </c>
      <c r="B4" s="464"/>
      <c r="C4" s="147">
        <f>Heroes!O7</f>
        <v>0</v>
      </c>
      <c r="D4" s="454" t="s">
        <v>2</v>
      </c>
      <c r="E4" s="455"/>
      <c r="F4" s="455"/>
      <c r="G4" s="455"/>
      <c r="H4" s="455"/>
      <c r="I4" s="460"/>
      <c r="J4" s="148">
        <f>Heroes!J4</f>
        <v>0</v>
      </c>
      <c r="K4" s="454" t="s">
        <v>1301</v>
      </c>
      <c r="L4" s="455"/>
      <c r="M4" s="455"/>
      <c r="N4" s="149">
        <f>Heroes!J6</f>
        <v>0</v>
      </c>
    </row>
    <row r="5" spans="1:14" ht="13.5" thickTop="1">
      <c r="A5" s="205" t="s">
        <v>992</v>
      </c>
      <c r="B5" s="206"/>
      <c r="C5" s="207"/>
      <c r="D5" s="451">
        <v>1</v>
      </c>
      <c r="E5" s="452"/>
      <c r="F5" s="215" t="s">
        <v>997</v>
      </c>
      <c r="G5" s="216"/>
      <c r="H5" s="217"/>
      <c r="I5" s="416"/>
      <c r="J5" s="417"/>
      <c r="K5" s="417"/>
      <c r="L5" s="103" t="s">
        <v>993</v>
      </c>
      <c r="M5" s="418"/>
      <c r="N5" s="419"/>
    </row>
    <row r="6" spans="1:14" ht="12.75">
      <c r="A6" s="208"/>
      <c r="B6" s="209"/>
      <c r="C6" s="210"/>
      <c r="D6" s="432"/>
      <c r="E6" s="433"/>
      <c r="F6" s="178" t="s">
        <v>996</v>
      </c>
      <c r="G6" s="178"/>
      <c r="H6" s="178"/>
      <c r="I6" s="407"/>
      <c r="J6" s="407"/>
      <c r="K6" s="407"/>
      <c r="L6" s="406"/>
      <c r="M6" s="101"/>
      <c r="N6" s="104"/>
    </row>
    <row r="7" spans="1:14" ht="12.75">
      <c r="A7" s="414" t="s">
        <v>1011</v>
      </c>
      <c r="B7" s="183"/>
      <c r="C7" s="183"/>
      <c r="D7" s="183"/>
      <c r="E7" s="183"/>
      <c r="F7" s="183"/>
      <c r="G7" s="183"/>
      <c r="H7" s="183"/>
      <c r="I7" s="183"/>
      <c r="J7" s="225"/>
      <c r="K7" s="83" t="s">
        <v>1006</v>
      </c>
      <c r="L7" s="90">
        <f>SUM(+IF(N8="Win",1,0)+IF(N9="Win",1,0)+IF(N10="win",1,0)+IF(N14="win",1,0))</f>
        <v>0</v>
      </c>
      <c r="M7" s="83" t="s">
        <v>1007</v>
      </c>
      <c r="N7" s="105">
        <f>SUM(+IF(N8="Loss",1,0)+IF(N9="Loss",1,0)+IF(N10="loss",1,0)+IF(N14="Loss",1,0))</f>
        <v>0</v>
      </c>
    </row>
    <row r="8" spans="1:14" ht="12.75">
      <c r="A8" s="106" t="s">
        <v>1009</v>
      </c>
      <c r="B8" s="434"/>
      <c r="C8" s="246"/>
      <c r="D8" s="247"/>
      <c r="E8" s="189" t="s">
        <v>1304</v>
      </c>
      <c r="F8" s="191"/>
      <c r="G8" s="85"/>
      <c r="H8" s="199" t="s">
        <v>1303</v>
      </c>
      <c r="I8" s="200"/>
      <c r="J8" s="85"/>
      <c r="K8" s="82" t="s">
        <v>1302</v>
      </c>
      <c r="L8" s="102">
        <f>IF(G8-J8&gt;300,"+5",IF(G8-J8&gt;=151,"+4",IF(G8-J8&gt;=101,"+3",IF(G8-J8&gt;=76,"+2",IF(G8-J8&gt;=51,"+1",0)))))</f>
        <v>0</v>
      </c>
      <c r="M8" s="82" t="s">
        <v>1010</v>
      </c>
      <c r="N8" s="107"/>
    </row>
    <row r="9" spans="1:14" ht="12.75">
      <c r="A9" s="106" t="s">
        <v>1009</v>
      </c>
      <c r="B9" s="434"/>
      <c r="C9" s="246"/>
      <c r="D9" s="247"/>
      <c r="E9" s="189" t="s">
        <v>1304</v>
      </c>
      <c r="F9" s="191"/>
      <c r="G9" s="85"/>
      <c r="H9" s="199" t="s">
        <v>1303</v>
      </c>
      <c r="I9" s="200"/>
      <c r="J9" s="85"/>
      <c r="K9" s="82" t="s">
        <v>1302</v>
      </c>
      <c r="L9" s="102">
        <f>IF(G9-J9&gt;300,"+5",IF(G9-J9&gt;=151,"+4",IF(G9-J9&gt;=101,"+3",IF(G9-J9&gt;=76,"+2",IF(G9-J9&gt;=51,"+1",0)))))</f>
        <v>0</v>
      </c>
      <c r="M9" s="82" t="s">
        <v>1010</v>
      </c>
      <c r="N9" s="107"/>
    </row>
    <row r="10" spans="1:14" ht="12.75">
      <c r="A10" s="106" t="s">
        <v>1009</v>
      </c>
      <c r="B10" s="434"/>
      <c r="C10" s="246"/>
      <c r="D10" s="247"/>
      <c r="E10" s="189" t="s">
        <v>1304</v>
      </c>
      <c r="F10" s="191"/>
      <c r="G10" s="85"/>
      <c r="H10" s="199" t="s">
        <v>1303</v>
      </c>
      <c r="I10" s="200"/>
      <c r="J10" s="85"/>
      <c r="K10" s="82" t="s">
        <v>1302</v>
      </c>
      <c r="L10" s="102">
        <f>IF(G10-J10&gt;300,"+5",IF(G10-J10&gt;=151,"+4",IF(G10-J10&gt;=101,"+3",IF(G10-J10&gt;=76,"+2",IF(G10-J10&gt;=51,"+1",0)))))</f>
        <v>0</v>
      </c>
      <c r="M10" s="82" t="s">
        <v>1010</v>
      </c>
      <c r="N10" s="107"/>
    </row>
    <row r="11" spans="1:14" ht="12.75">
      <c r="A11" s="201" t="s">
        <v>3</v>
      </c>
      <c r="B11" s="202"/>
      <c r="C11" s="202"/>
      <c r="D11" s="202"/>
      <c r="E11" s="202"/>
      <c r="F11" s="202"/>
      <c r="G11" s="51"/>
      <c r="H11" s="178" t="s">
        <v>0</v>
      </c>
      <c r="I11" s="164"/>
      <c r="J11" s="164"/>
      <c r="K11" s="164"/>
      <c r="L11" s="164"/>
      <c r="M11" s="116"/>
      <c r="N11" s="108"/>
    </row>
    <row r="12" spans="1:14" ht="12.75">
      <c r="A12" s="186" t="s">
        <v>1297</v>
      </c>
      <c r="B12" s="164"/>
      <c r="C12" s="164"/>
      <c r="D12" s="86"/>
      <c r="E12" s="51"/>
      <c r="F12" s="51"/>
      <c r="G12" s="51"/>
      <c r="H12" s="178" t="s">
        <v>1</v>
      </c>
      <c r="I12" s="164"/>
      <c r="J12" s="164"/>
      <c r="K12" s="164"/>
      <c r="L12" s="164"/>
      <c r="M12" s="403"/>
      <c r="N12" s="404"/>
    </row>
    <row r="13" spans="1:14" ht="12.75">
      <c r="A13" s="186" t="s">
        <v>1298</v>
      </c>
      <c r="B13" s="164"/>
      <c r="C13" s="164"/>
      <c r="D13" s="86"/>
      <c r="E13" s="51"/>
      <c r="F13" s="51"/>
      <c r="G13" s="51"/>
      <c r="H13" s="51"/>
      <c r="I13" s="51"/>
      <c r="J13" s="51"/>
      <c r="K13" s="51"/>
      <c r="L13" s="51"/>
      <c r="M13" s="51"/>
      <c r="N13" s="108"/>
    </row>
    <row r="14" spans="1:14" ht="12.75">
      <c r="A14" s="119" t="s">
        <v>1307</v>
      </c>
      <c r="B14" s="434"/>
      <c r="C14" s="246"/>
      <c r="D14" s="247"/>
      <c r="E14" s="189" t="s">
        <v>1304</v>
      </c>
      <c r="F14" s="191"/>
      <c r="G14" s="85"/>
      <c r="H14" s="199" t="s">
        <v>1303</v>
      </c>
      <c r="I14" s="200"/>
      <c r="J14" s="85"/>
      <c r="K14" s="82" t="s">
        <v>1302</v>
      </c>
      <c r="L14" s="102">
        <f>IF(G14-J14&gt;300,"+5",IF(G14-J14&gt;=151,"+4",IF(G14-J14&gt;=101,"+3",IF(G14-J14&gt;=76,"+2",IF(G14-J14&gt;=51,"+1",0)))))</f>
        <v>0</v>
      </c>
      <c r="M14" s="82" t="s">
        <v>1010</v>
      </c>
      <c r="N14" s="107"/>
    </row>
    <row r="15" spans="1:14" ht="12.75">
      <c r="A15" s="153" t="s">
        <v>4</v>
      </c>
      <c r="B15" s="187"/>
      <c r="C15" s="187"/>
      <c r="D15" s="187"/>
      <c r="E15" s="187"/>
      <c r="F15" s="188"/>
      <c r="G15" s="189" t="s">
        <v>1299</v>
      </c>
      <c r="H15" s="190"/>
      <c r="I15" s="190"/>
      <c r="J15" s="190"/>
      <c r="K15" s="190"/>
      <c r="L15" s="191"/>
      <c r="M15" s="85"/>
      <c r="N15" s="120"/>
    </row>
    <row r="16" spans="1:14" ht="12.75">
      <c r="A16" s="192" t="s">
        <v>738</v>
      </c>
      <c r="B16" s="193"/>
      <c r="C16" s="79" t="s">
        <v>739</v>
      </c>
      <c r="D16" s="86"/>
      <c r="E16" s="80" t="s">
        <v>740</v>
      </c>
      <c r="F16" s="86"/>
      <c r="G16" s="80" t="s">
        <v>741</v>
      </c>
      <c r="H16" s="86"/>
      <c r="I16" s="80" t="s">
        <v>742</v>
      </c>
      <c r="J16" s="117"/>
      <c r="K16" s="182" t="s">
        <v>748</v>
      </c>
      <c r="L16" s="161"/>
      <c r="M16" s="162"/>
      <c r="N16" s="110"/>
    </row>
    <row r="17" spans="1:14" ht="12.75">
      <c r="A17" s="194"/>
      <c r="B17" s="195"/>
      <c r="C17" s="75" t="s">
        <v>743</v>
      </c>
      <c r="D17" s="87"/>
      <c r="E17" s="81" t="s">
        <v>744</v>
      </c>
      <c r="F17" s="87"/>
      <c r="G17" s="81" t="s">
        <v>745</v>
      </c>
      <c r="H17" s="87"/>
      <c r="I17" s="81" t="s">
        <v>746</v>
      </c>
      <c r="J17" s="100"/>
      <c r="K17" s="178" t="s">
        <v>756</v>
      </c>
      <c r="L17" s="178"/>
      <c r="M17" s="178"/>
      <c r="N17" s="110"/>
    </row>
    <row r="18" spans="1:14" ht="12.75">
      <c r="A18" s="179" t="s">
        <v>998</v>
      </c>
      <c r="B18" s="161"/>
      <c r="C18" s="162"/>
      <c r="D18" s="100"/>
      <c r="E18" s="178" t="s">
        <v>999</v>
      </c>
      <c r="F18" s="164"/>
      <c r="G18" s="164"/>
      <c r="H18" s="164"/>
      <c r="I18" s="164"/>
      <c r="J18" s="118">
        <f>IF(D16&gt;0,VLOOKUP(SUM(D16+F16+H16+J16+D17+F17+H17+J17),ShardsFound,2),0)+D18</f>
        <v>0</v>
      </c>
      <c r="K18" s="182" t="s">
        <v>524</v>
      </c>
      <c r="L18" s="162"/>
      <c r="M18" s="87"/>
      <c r="N18" s="109"/>
    </row>
    <row r="19" spans="1:14" ht="12.75">
      <c r="A19" s="153" t="s">
        <v>758</v>
      </c>
      <c r="B19" s="183"/>
      <c r="C19" s="183"/>
      <c r="D19" s="183"/>
      <c r="E19" s="184"/>
      <c r="F19" s="185"/>
      <c r="G19" s="51"/>
      <c r="H19" s="51"/>
      <c r="I19" s="51"/>
      <c r="J19" s="51"/>
      <c r="K19" s="78" t="s">
        <v>752</v>
      </c>
      <c r="L19" s="78"/>
      <c r="M19" s="78"/>
      <c r="N19" s="111">
        <f>IF(M18&gt;0,VLOOKUP(M18,Shards,VLOOKUP(M15,Warriors,2)),0)</f>
        <v>0</v>
      </c>
    </row>
    <row r="20" spans="1:14" ht="12.75">
      <c r="A20" s="179" t="s">
        <v>757</v>
      </c>
      <c r="B20" s="161"/>
      <c r="C20" s="161"/>
      <c r="D20" s="161"/>
      <c r="E20" s="453"/>
      <c r="F20" s="162"/>
      <c r="G20" s="178" t="s">
        <v>1308</v>
      </c>
      <c r="H20" s="178"/>
      <c r="I20" s="178"/>
      <c r="J20" s="100"/>
      <c r="K20" s="178" t="s">
        <v>6</v>
      </c>
      <c r="L20" s="164"/>
      <c r="M20" s="164"/>
      <c r="N20" s="151">
        <f>IF(I6="Able to Loot",IF(M11="No",D12*E20,0),0)</f>
        <v>0</v>
      </c>
    </row>
    <row r="21" spans="1:14" ht="12.75">
      <c r="A21" s="153" t="s">
        <v>749</v>
      </c>
      <c r="B21" s="180"/>
      <c r="C21" s="180"/>
      <c r="D21" s="180"/>
      <c r="E21" s="180"/>
      <c r="F21" s="181"/>
      <c r="G21" s="51"/>
      <c r="H21" s="51"/>
      <c r="I21" s="51"/>
      <c r="J21" s="51"/>
      <c r="K21" s="178" t="s">
        <v>755</v>
      </c>
      <c r="L21" s="178"/>
      <c r="M21" s="178"/>
      <c r="N21" s="111">
        <f>SUM(N19+N16+N20+N17)</f>
        <v>0</v>
      </c>
    </row>
    <row r="22" spans="1:14" ht="12.75">
      <c r="A22" s="179" t="s">
        <v>751</v>
      </c>
      <c r="B22" s="161"/>
      <c r="C22" s="161"/>
      <c r="D22" s="162"/>
      <c r="E22" s="86"/>
      <c r="F22" s="178" t="s">
        <v>754</v>
      </c>
      <c r="G22" s="178"/>
      <c r="H22" s="178"/>
      <c r="I22" s="87"/>
      <c r="J22" s="51"/>
      <c r="K22" s="51"/>
      <c r="L22" s="51"/>
      <c r="M22" s="51"/>
      <c r="N22" s="108"/>
    </row>
    <row r="23" spans="1:14" ht="12.75">
      <c r="A23" s="179" t="s">
        <v>750</v>
      </c>
      <c r="B23" s="161"/>
      <c r="C23" s="161"/>
      <c r="D23" s="162"/>
      <c r="E23" s="88"/>
      <c r="F23" s="51"/>
      <c r="G23" s="51"/>
      <c r="H23" s="51"/>
      <c r="I23" s="51"/>
      <c r="J23" s="51"/>
      <c r="K23" s="51"/>
      <c r="L23" s="51"/>
      <c r="M23" s="51"/>
      <c r="N23" s="108"/>
    </row>
    <row r="24" spans="1:14" ht="12.75">
      <c r="A24" s="163" t="s">
        <v>753</v>
      </c>
      <c r="B24" s="178"/>
      <c r="C24" s="178"/>
      <c r="D24" s="164"/>
      <c r="E24" s="87"/>
      <c r="F24" s="178" t="s">
        <v>5</v>
      </c>
      <c r="G24" s="164"/>
      <c r="H24" s="164"/>
      <c r="I24" s="164"/>
      <c r="J24" s="40">
        <f>SUM('Additional Members'!F$89+'Additional Members'!F$98+'Additional Members'!F$107+'Additional Members'!F$123+'Additional Members'!F$132)</f>
        <v>0</v>
      </c>
      <c r="K24" s="178" t="s">
        <v>1300</v>
      </c>
      <c r="L24" s="159"/>
      <c r="M24" s="159"/>
      <c r="N24" s="111">
        <f>SUM(E22+E23+E24+I22)</f>
        <v>0</v>
      </c>
    </row>
    <row r="25" spans="1:14" ht="12.75">
      <c r="A25" s="414" t="s">
        <v>532</v>
      </c>
      <c r="B25" s="183"/>
      <c r="C25" s="183"/>
      <c r="D25" s="183"/>
      <c r="E25" s="183"/>
      <c r="F25" s="183"/>
      <c r="G25" s="183"/>
      <c r="H25" s="183"/>
      <c r="I25" s="183"/>
      <c r="J25" s="183"/>
      <c r="K25" s="225"/>
      <c r="L25" s="415" t="s">
        <v>1001</v>
      </c>
      <c r="M25" s="161"/>
      <c r="N25" s="413"/>
    </row>
    <row r="26" spans="1:14" ht="12.75">
      <c r="A26" s="411"/>
      <c r="B26" s="161"/>
      <c r="C26" s="161"/>
      <c r="D26" s="161"/>
      <c r="E26" s="161"/>
      <c r="F26" s="161"/>
      <c r="G26" s="161"/>
      <c r="H26" s="161"/>
      <c r="I26" s="161"/>
      <c r="J26" s="161"/>
      <c r="K26" s="162"/>
      <c r="L26" s="412"/>
      <c r="M26" s="161"/>
      <c r="N26" s="413"/>
    </row>
    <row r="27" spans="1:14" ht="12.75">
      <c r="A27" s="411"/>
      <c r="B27" s="161"/>
      <c r="C27" s="161"/>
      <c r="D27" s="161"/>
      <c r="E27" s="161"/>
      <c r="F27" s="161"/>
      <c r="G27" s="161"/>
      <c r="H27" s="161"/>
      <c r="I27" s="161"/>
      <c r="J27" s="161"/>
      <c r="K27" s="162"/>
      <c r="L27" s="412"/>
      <c r="M27" s="161"/>
      <c r="N27" s="413"/>
    </row>
    <row r="28" spans="1:14" ht="12.75">
      <c r="A28" s="411"/>
      <c r="B28" s="161"/>
      <c r="C28" s="161"/>
      <c r="D28" s="161"/>
      <c r="E28" s="161"/>
      <c r="F28" s="161"/>
      <c r="G28" s="161"/>
      <c r="H28" s="161"/>
      <c r="I28" s="161"/>
      <c r="J28" s="161"/>
      <c r="K28" s="162"/>
      <c r="L28" s="412"/>
      <c r="M28" s="161"/>
      <c r="N28" s="413"/>
    </row>
    <row r="29" spans="1:14" ht="12.75">
      <c r="A29" s="411"/>
      <c r="B29" s="161"/>
      <c r="C29" s="161"/>
      <c r="D29" s="161"/>
      <c r="E29" s="161"/>
      <c r="F29" s="161"/>
      <c r="G29" s="161"/>
      <c r="H29" s="161"/>
      <c r="I29" s="161"/>
      <c r="J29" s="161"/>
      <c r="K29" s="162"/>
      <c r="L29" s="412"/>
      <c r="M29" s="161"/>
      <c r="N29" s="413"/>
    </row>
    <row r="30" spans="1:14" ht="12.75">
      <c r="A30" s="411"/>
      <c r="B30" s="161"/>
      <c r="C30" s="161"/>
      <c r="D30" s="161"/>
      <c r="E30" s="161"/>
      <c r="F30" s="161"/>
      <c r="G30" s="161"/>
      <c r="H30" s="161"/>
      <c r="I30" s="161"/>
      <c r="J30" s="161"/>
      <c r="K30" s="162"/>
      <c r="L30" s="412"/>
      <c r="M30" s="161"/>
      <c r="N30" s="413"/>
    </row>
    <row r="31" spans="1:14" ht="12.75">
      <c r="A31" s="405"/>
      <c r="B31" s="406"/>
      <c r="C31" s="406"/>
      <c r="D31" s="406"/>
      <c r="E31" s="406"/>
      <c r="F31" s="406"/>
      <c r="G31" s="406"/>
      <c r="H31" s="406"/>
      <c r="I31" s="406"/>
      <c r="J31" s="406"/>
      <c r="K31" s="406"/>
      <c r="L31" s="407"/>
      <c r="M31" s="406"/>
      <c r="N31" s="408"/>
    </row>
    <row r="32" spans="1:14" ht="13.5" thickBot="1">
      <c r="A32" s="168" t="s">
        <v>1296</v>
      </c>
      <c r="B32" s="169"/>
      <c r="C32" s="170"/>
      <c r="D32" s="170"/>
      <c r="E32" s="170"/>
      <c r="F32" s="409"/>
      <c r="G32" s="409"/>
      <c r="H32" s="410"/>
      <c r="I32" s="410"/>
      <c r="J32" s="112"/>
      <c r="K32" s="113" t="s">
        <v>1000</v>
      </c>
      <c r="L32" s="113"/>
      <c r="M32" s="114"/>
      <c r="N32" s="115">
        <f>SUM(N21-N24)</f>
        <v>0</v>
      </c>
    </row>
    <row r="33" ht="13.5" thickTop="1">
      <c r="N33" s="33"/>
    </row>
    <row r="38" ht="12.75">
      <c r="N38" s="33"/>
    </row>
    <row r="39" ht="12.75">
      <c r="N39" s="33"/>
    </row>
    <row r="40" ht="12.75">
      <c r="N40" s="33"/>
    </row>
    <row r="41" ht="12.75">
      <c r="N41" s="33"/>
    </row>
    <row r="42" ht="12.75">
      <c r="N42" s="33"/>
    </row>
    <row r="43" ht="12.75">
      <c r="N43" s="33"/>
    </row>
    <row r="44" ht="12.75">
      <c r="N44" s="33"/>
    </row>
    <row r="45" ht="12.75">
      <c r="N45" s="33"/>
    </row>
    <row r="46" ht="12.75">
      <c r="N46" s="33"/>
    </row>
    <row r="47" ht="12.75">
      <c r="N47" s="33"/>
    </row>
    <row r="48" ht="12.75">
      <c r="N48" s="33"/>
    </row>
    <row r="49" ht="12.75">
      <c r="N49" s="33"/>
    </row>
    <row r="50" ht="12.75">
      <c r="N50" s="33"/>
    </row>
    <row r="51" ht="12.75">
      <c r="N51" s="33"/>
    </row>
    <row r="52" ht="12.75">
      <c r="N52" s="33"/>
    </row>
    <row r="53" ht="12.75">
      <c r="N53" s="33"/>
    </row>
    <row r="55" ht="12.75" customHeight="1"/>
    <row r="56" ht="12.75" customHeight="1"/>
    <row r="58" ht="13.5" thickBot="1"/>
    <row r="59" spans="1:14" ht="15">
      <c r="A59" s="67" t="s">
        <v>1003</v>
      </c>
      <c r="B59" s="420">
        <f>SUBSTITUTE(Heroes!F$1,0,"")</f>
      </c>
      <c r="C59" s="421"/>
      <c r="D59" s="421"/>
      <c r="E59" s="422"/>
      <c r="F59" s="422"/>
      <c r="G59" s="422"/>
      <c r="H59" s="422"/>
      <c r="I59" s="422"/>
      <c r="J59" s="422"/>
      <c r="K59" s="422"/>
      <c r="L59" s="422"/>
      <c r="M59" s="422"/>
      <c r="N59" s="423"/>
    </row>
    <row r="60" ht="13.5" thickBot="1"/>
    <row r="61" spans="1:14" ht="12.75" customHeight="1" thickTop="1">
      <c r="A61" s="424" t="s">
        <v>992</v>
      </c>
      <c r="B61" s="425"/>
      <c r="C61" s="426"/>
      <c r="D61" s="430">
        <f>D5+1</f>
        <v>2</v>
      </c>
      <c r="E61" s="431"/>
      <c r="F61" s="215" t="s">
        <v>997</v>
      </c>
      <c r="G61" s="216"/>
      <c r="H61" s="217"/>
      <c r="I61" s="416"/>
      <c r="J61" s="417"/>
      <c r="K61" s="417"/>
      <c r="L61" s="103" t="s">
        <v>993</v>
      </c>
      <c r="M61" s="418"/>
      <c r="N61" s="419"/>
    </row>
    <row r="62" spans="1:14" ht="12.75" customHeight="1">
      <c r="A62" s="427"/>
      <c r="B62" s="428"/>
      <c r="C62" s="429"/>
      <c r="D62" s="432"/>
      <c r="E62" s="433"/>
      <c r="F62" s="178" t="s">
        <v>996</v>
      </c>
      <c r="G62" s="178"/>
      <c r="H62" s="178"/>
      <c r="I62" s="407"/>
      <c r="J62" s="407"/>
      <c r="K62" s="407"/>
      <c r="L62" s="406"/>
      <c r="M62" s="101"/>
      <c r="N62" s="104"/>
    </row>
    <row r="63" spans="1:14" ht="12.75">
      <c r="A63" s="414" t="s">
        <v>1011</v>
      </c>
      <c r="B63" s="183"/>
      <c r="C63" s="183"/>
      <c r="D63" s="183"/>
      <c r="E63" s="183"/>
      <c r="F63" s="183"/>
      <c r="G63" s="183"/>
      <c r="H63" s="183"/>
      <c r="I63" s="183"/>
      <c r="J63" s="225"/>
      <c r="K63" s="83" t="s">
        <v>1006</v>
      </c>
      <c r="L63" s="90">
        <f>SUM(+IF(N64="Win",1,0)+IF(N65="Win",1,0)+IF(N66="win",1,0)+IF(N70="win",1,0))</f>
        <v>0</v>
      </c>
      <c r="M63" s="83" t="s">
        <v>1007</v>
      </c>
      <c r="N63" s="105">
        <f>SUM(+IF(N64="Loss",1,0)+IF(N65="Loss",1,0)+IF(N66="loss",1,0)+IF(N70="Loss",1,0))</f>
        <v>0</v>
      </c>
    </row>
    <row r="64" spans="1:14" ht="12.75">
      <c r="A64" s="106" t="s">
        <v>1009</v>
      </c>
      <c r="B64" s="434"/>
      <c r="C64" s="246"/>
      <c r="D64" s="247"/>
      <c r="E64" s="189" t="s">
        <v>1304</v>
      </c>
      <c r="F64" s="191"/>
      <c r="G64" s="85"/>
      <c r="H64" s="199" t="s">
        <v>1303</v>
      </c>
      <c r="I64" s="200"/>
      <c r="J64" s="85"/>
      <c r="K64" s="82" t="s">
        <v>1302</v>
      </c>
      <c r="L64" s="102">
        <f>IF(G64-J64&gt;300,"+5",IF(G64-J64&gt;=151,"+4",IF(G64-J64&gt;=101,"+3",IF(G64-J64&gt;=76,"+2",IF(G64-J64&gt;=51,"+1",0)))))</f>
        <v>0</v>
      </c>
      <c r="M64" s="82" t="s">
        <v>1010</v>
      </c>
      <c r="N64" s="107"/>
    </row>
    <row r="65" spans="1:14" ht="12.75">
      <c r="A65" s="106" t="s">
        <v>1009</v>
      </c>
      <c r="B65" s="434"/>
      <c r="C65" s="246"/>
      <c r="D65" s="247"/>
      <c r="E65" s="189" t="s">
        <v>1304</v>
      </c>
      <c r="F65" s="191"/>
      <c r="G65" s="85"/>
      <c r="H65" s="199" t="s">
        <v>1303</v>
      </c>
      <c r="I65" s="200"/>
      <c r="J65" s="85"/>
      <c r="K65" s="82" t="s">
        <v>1302</v>
      </c>
      <c r="L65" s="102">
        <f>IF(G65-J65&gt;300,"+5",IF(G65-J65&gt;=151,"+4",IF(G65-J65&gt;=101,"+3",IF(G65-J65&gt;=76,"+2",IF(G65-J65&gt;=51,"+1",0)))))</f>
        <v>0</v>
      </c>
      <c r="M65" s="82" t="s">
        <v>1010</v>
      </c>
      <c r="N65" s="107"/>
    </row>
    <row r="66" spans="1:14" ht="12.75">
      <c r="A66" s="106" t="s">
        <v>1009</v>
      </c>
      <c r="B66" s="434"/>
      <c r="C66" s="246"/>
      <c r="D66" s="247"/>
      <c r="E66" s="189" t="s">
        <v>1304</v>
      </c>
      <c r="F66" s="191"/>
      <c r="G66" s="85"/>
      <c r="H66" s="199" t="s">
        <v>1303</v>
      </c>
      <c r="I66" s="200"/>
      <c r="J66" s="85"/>
      <c r="K66" s="82" t="s">
        <v>1302</v>
      </c>
      <c r="L66" s="102">
        <f>IF(G66-J66&gt;300,"+5",IF(G66-J66&gt;=151,"+4",IF(G66-J66&gt;=101,"+3",IF(G66-J66&gt;=76,"+2",IF(G66-J66&gt;=51,"+1",0)))))</f>
        <v>0</v>
      </c>
      <c r="M66" s="82" t="s">
        <v>1010</v>
      </c>
      <c r="N66" s="107"/>
    </row>
    <row r="67" spans="1:14" ht="12.75">
      <c r="A67" s="201" t="s">
        <v>3</v>
      </c>
      <c r="B67" s="202"/>
      <c r="C67" s="202"/>
      <c r="D67" s="202"/>
      <c r="E67" s="202"/>
      <c r="F67" s="202"/>
      <c r="G67" s="51"/>
      <c r="H67" s="178" t="s">
        <v>0</v>
      </c>
      <c r="I67" s="164"/>
      <c r="J67" s="164"/>
      <c r="K67" s="164"/>
      <c r="L67" s="164"/>
      <c r="M67" s="116"/>
      <c r="N67" s="108"/>
    </row>
    <row r="68" spans="1:14" ht="12.75">
      <c r="A68" s="186" t="s">
        <v>1297</v>
      </c>
      <c r="B68" s="164"/>
      <c r="C68" s="164"/>
      <c r="D68" s="86"/>
      <c r="E68" s="51"/>
      <c r="F68" s="51"/>
      <c r="G68" s="51"/>
      <c r="H68" s="178" t="s">
        <v>1</v>
      </c>
      <c r="I68" s="164"/>
      <c r="J68" s="164"/>
      <c r="K68" s="164"/>
      <c r="L68" s="164"/>
      <c r="M68" s="403"/>
      <c r="N68" s="404"/>
    </row>
    <row r="69" spans="1:14" ht="12.75">
      <c r="A69" s="186" t="s">
        <v>1298</v>
      </c>
      <c r="B69" s="164"/>
      <c r="C69" s="164"/>
      <c r="D69" s="86"/>
      <c r="E69" s="51"/>
      <c r="F69" s="51"/>
      <c r="G69" s="51"/>
      <c r="H69" s="51"/>
      <c r="I69" s="51"/>
      <c r="J69" s="51"/>
      <c r="K69" s="51"/>
      <c r="L69" s="51"/>
      <c r="M69" s="51"/>
      <c r="N69" s="108"/>
    </row>
    <row r="70" spans="1:14" ht="12.75">
      <c r="A70" s="119" t="s">
        <v>1307</v>
      </c>
      <c r="B70" s="434"/>
      <c r="C70" s="246"/>
      <c r="D70" s="247"/>
      <c r="E70" s="189" t="s">
        <v>1304</v>
      </c>
      <c r="F70" s="191"/>
      <c r="G70" s="85"/>
      <c r="H70" s="199" t="s">
        <v>1303</v>
      </c>
      <c r="I70" s="200"/>
      <c r="J70" s="85"/>
      <c r="K70" s="82" t="s">
        <v>1302</v>
      </c>
      <c r="L70" s="102">
        <f>IF(G70-J70&gt;300,"+5",IF(G70-J70&gt;=151,"+4",IF(G70-J70&gt;=101,"+3",IF(G70-J70&gt;=76,"+2",IF(G70-J70&gt;=51,"+1",0)))))</f>
        <v>0</v>
      </c>
      <c r="M70" s="82" t="s">
        <v>1010</v>
      </c>
      <c r="N70" s="107"/>
    </row>
    <row r="71" spans="1:14" ht="12.75">
      <c r="A71" s="153" t="s">
        <v>4</v>
      </c>
      <c r="B71" s="187"/>
      <c r="C71" s="187"/>
      <c r="D71" s="187"/>
      <c r="E71" s="187"/>
      <c r="F71" s="188"/>
      <c r="G71" s="189" t="s">
        <v>1299</v>
      </c>
      <c r="H71" s="190"/>
      <c r="I71" s="190"/>
      <c r="J71" s="190"/>
      <c r="K71" s="190"/>
      <c r="L71" s="191"/>
      <c r="M71" s="85"/>
      <c r="N71" s="120"/>
    </row>
    <row r="72" spans="1:14" ht="12.75">
      <c r="A72" s="192" t="s">
        <v>738</v>
      </c>
      <c r="B72" s="193"/>
      <c r="C72" s="79" t="s">
        <v>739</v>
      </c>
      <c r="D72" s="86"/>
      <c r="E72" s="80" t="s">
        <v>740</v>
      </c>
      <c r="F72" s="86"/>
      <c r="G72" s="80" t="s">
        <v>741</v>
      </c>
      <c r="H72" s="86"/>
      <c r="I72" s="80" t="s">
        <v>742</v>
      </c>
      <c r="J72" s="117"/>
      <c r="K72" s="182" t="s">
        <v>748</v>
      </c>
      <c r="L72" s="161"/>
      <c r="M72" s="162"/>
      <c r="N72" s="110"/>
    </row>
    <row r="73" spans="1:14" ht="12.75">
      <c r="A73" s="194"/>
      <c r="B73" s="195"/>
      <c r="C73" s="75" t="s">
        <v>743</v>
      </c>
      <c r="D73" s="87"/>
      <c r="E73" s="81" t="s">
        <v>744</v>
      </c>
      <c r="F73" s="87"/>
      <c r="G73" s="81" t="s">
        <v>745</v>
      </c>
      <c r="H73" s="87"/>
      <c r="I73" s="81" t="s">
        <v>746</v>
      </c>
      <c r="J73" s="100"/>
      <c r="K73" s="178" t="s">
        <v>756</v>
      </c>
      <c r="L73" s="178"/>
      <c r="M73" s="178"/>
      <c r="N73" s="110"/>
    </row>
    <row r="74" spans="1:14" ht="12.75">
      <c r="A74" s="179" t="s">
        <v>998</v>
      </c>
      <c r="B74" s="161"/>
      <c r="C74" s="162"/>
      <c r="D74" s="100"/>
      <c r="E74" s="178" t="s">
        <v>999</v>
      </c>
      <c r="F74" s="164"/>
      <c r="G74" s="164"/>
      <c r="H74" s="164"/>
      <c r="I74" s="164"/>
      <c r="J74" s="118">
        <f>IF(D72&gt;0,VLOOKUP(SUM(D72+F72+H72+J72+D73+F73+H73+J73),ShardsFound,2),0)+D74</f>
        <v>0</v>
      </c>
      <c r="K74" s="182" t="s">
        <v>524</v>
      </c>
      <c r="L74" s="162"/>
      <c r="M74" s="87"/>
      <c r="N74" s="109"/>
    </row>
    <row r="75" spans="1:14" ht="12.75">
      <c r="A75" s="153" t="s">
        <v>758</v>
      </c>
      <c r="B75" s="183"/>
      <c r="C75" s="183"/>
      <c r="D75" s="183"/>
      <c r="E75" s="184"/>
      <c r="F75" s="185"/>
      <c r="G75" s="51"/>
      <c r="H75" s="51"/>
      <c r="I75" s="51"/>
      <c r="J75" s="51"/>
      <c r="K75" s="78" t="s">
        <v>752</v>
      </c>
      <c r="L75" s="78"/>
      <c r="M75" s="78"/>
      <c r="N75" s="111">
        <f>IF(M74&gt;0,VLOOKUP(M74,Shards,VLOOKUP(M71,Warriors,2)),0)</f>
        <v>0</v>
      </c>
    </row>
    <row r="76" spans="1:14" ht="12.75">
      <c r="A76" s="179" t="s">
        <v>757</v>
      </c>
      <c r="B76" s="161"/>
      <c r="C76" s="161"/>
      <c r="D76" s="161"/>
      <c r="E76" s="453"/>
      <c r="F76" s="162"/>
      <c r="G76" s="178" t="s">
        <v>1308</v>
      </c>
      <c r="H76" s="178"/>
      <c r="I76" s="178"/>
      <c r="J76" s="100"/>
      <c r="K76" s="178" t="s">
        <v>6</v>
      </c>
      <c r="L76" s="164"/>
      <c r="M76" s="164"/>
      <c r="N76" s="151">
        <f>IF(I62="Able to Loot",IF(M67="No",D68*E76,0),0)</f>
        <v>0</v>
      </c>
    </row>
    <row r="77" spans="1:14" ht="12.75">
      <c r="A77" s="153" t="s">
        <v>749</v>
      </c>
      <c r="B77" s="180"/>
      <c r="C77" s="180"/>
      <c r="D77" s="180"/>
      <c r="E77" s="180"/>
      <c r="F77" s="181"/>
      <c r="G77" s="51"/>
      <c r="H77" s="51"/>
      <c r="I77" s="51"/>
      <c r="J77" s="51"/>
      <c r="K77" s="178" t="s">
        <v>755</v>
      </c>
      <c r="L77" s="178"/>
      <c r="M77" s="178"/>
      <c r="N77" s="111">
        <f>SUM(N75+N72+N76+N73)</f>
        <v>0</v>
      </c>
    </row>
    <row r="78" spans="1:14" ht="12.75">
      <c r="A78" s="179" t="s">
        <v>751</v>
      </c>
      <c r="B78" s="161"/>
      <c r="C78" s="161"/>
      <c r="D78" s="162"/>
      <c r="E78" s="86"/>
      <c r="F78" s="178" t="s">
        <v>754</v>
      </c>
      <c r="G78" s="178"/>
      <c r="H78" s="178"/>
      <c r="I78" s="87"/>
      <c r="J78" s="51"/>
      <c r="K78" s="51"/>
      <c r="L78" s="51"/>
      <c r="M78" s="51"/>
      <c r="N78" s="108"/>
    </row>
    <row r="79" spans="1:14" ht="12.75">
      <c r="A79" s="179" t="s">
        <v>750</v>
      </c>
      <c r="B79" s="161"/>
      <c r="C79" s="161"/>
      <c r="D79" s="162"/>
      <c r="E79" s="88"/>
      <c r="F79" s="51"/>
      <c r="G79" s="51"/>
      <c r="H79" s="51"/>
      <c r="I79" s="51"/>
      <c r="J79" s="51"/>
      <c r="K79" s="51"/>
      <c r="L79" s="51"/>
      <c r="M79" s="51"/>
      <c r="N79" s="108"/>
    </row>
    <row r="80" spans="1:14" ht="12.75">
      <c r="A80" s="163" t="s">
        <v>753</v>
      </c>
      <c r="B80" s="178"/>
      <c r="C80" s="178"/>
      <c r="D80" s="164"/>
      <c r="E80" s="87"/>
      <c r="F80" s="178" t="s">
        <v>5</v>
      </c>
      <c r="G80" s="164"/>
      <c r="H80" s="164"/>
      <c r="I80" s="164"/>
      <c r="J80" s="40">
        <f>SUM('Additional Members'!F$89+'Additional Members'!F$98+'Additional Members'!F$107+'Additional Members'!F$123+'Additional Members'!F$132)</f>
        <v>0</v>
      </c>
      <c r="K80" s="178" t="s">
        <v>1300</v>
      </c>
      <c r="L80" s="159"/>
      <c r="M80" s="159"/>
      <c r="N80" s="111">
        <f>SUM(E78+E79+E80+I78)</f>
        <v>0</v>
      </c>
    </row>
    <row r="81" spans="1:14" ht="12.75">
      <c r="A81" s="414" t="s">
        <v>532</v>
      </c>
      <c r="B81" s="183"/>
      <c r="C81" s="183"/>
      <c r="D81" s="183"/>
      <c r="E81" s="183"/>
      <c r="F81" s="183"/>
      <c r="G81" s="183"/>
      <c r="H81" s="183"/>
      <c r="I81" s="183"/>
      <c r="J81" s="183"/>
      <c r="K81" s="225"/>
      <c r="L81" s="415" t="s">
        <v>1001</v>
      </c>
      <c r="M81" s="161"/>
      <c r="N81" s="413"/>
    </row>
    <row r="82" spans="1:14" ht="12.75">
      <c r="A82" s="411"/>
      <c r="B82" s="161"/>
      <c r="C82" s="161"/>
      <c r="D82" s="161"/>
      <c r="E82" s="161"/>
      <c r="F82" s="161"/>
      <c r="G82" s="161"/>
      <c r="H82" s="161"/>
      <c r="I82" s="161"/>
      <c r="J82" s="161"/>
      <c r="K82" s="162"/>
      <c r="L82" s="412"/>
      <c r="M82" s="161"/>
      <c r="N82" s="413"/>
    </row>
    <row r="83" spans="1:14" ht="12.75">
      <c r="A83" s="411"/>
      <c r="B83" s="161"/>
      <c r="C83" s="161"/>
      <c r="D83" s="161"/>
      <c r="E83" s="161"/>
      <c r="F83" s="161"/>
      <c r="G83" s="161"/>
      <c r="H83" s="161"/>
      <c r="I83" s="161"/>
      <c r="J83" s="161"/>
      <c r="K83" s="162"/>
      <c r="L83" s="412"/>
      <c r="M83" s="161"/>
      <c r="N83" s="413"/>
    </row>
    <row r="84" spans="1:14" ht="12.75" customHeight="1">
      <c r="A84" s="411"/>
      <c r="B84" s="161"/>
      <c r="C84" s="161"/>
      <c r="D84" s="161"/>
      <c r="E84" s="161"/>
      <c r="F84" s="161"/>
      <c r="G84" s="161"/>
      <c r="H84" s="161"/>
      <c r="I84" s="161"/>
      <c r="J84" s="161"/>
      <c r="K84" s="162"/>
      <c r="L84" s="412"/>
      <c r="M84" s="161"/>
      <c r="N84" s="413"/>
    </row>
    <row r="85" spans="1:14" ht="12.75">
      <c r="A85" s="411"/>
      <c r="B85" s="161"/>
      <c r="C85" s="161"/>
      <c r="D85" s="161"/>
      <c r="E85" s="161"/>
      <c r="F85" s="161"/>
      <c r="G85" s="161"/>
      <c r="H85" s="161"/>
      <c r="I85" s="161"/>
      <c r="J85" s="161"/>
      <c r="K85" s="162"/>
      <c r="L85" s="412"/>
      <c r="M85" s="161"/>
      <c r="N85" s="413"/>
    </row>
    <row r="86" spans="1:14" ht="12.75">
      <c r="A86" s="411"/>
      <c r="B86" s="161"/>
      <c r="C86" s="161"/>
      <c r="D86" s="161"/>
      <c r="E86" s="161"/>
      <c r="F86" s="161"/>
      <c r="G86" s="161"/>
      <c r="H86" s="161"/>
      <c r="I86" s="161"/>
      <c r="J86" s="161"/>
      <c r="K86" s="162"/>
      <c r="L86" s="412"/>
      <c r="M86" s="161"/>
      <c r="N86" s="413"/>
    </row>
    <row r="87" spans="1:14" ht="12.75">
      <c r="A87" s="405"/>
      <c r="B87" s="406"/>
      <c r="C87" s="406"/>
      <c r="D87" s="406"/>
      <c r="E87" s="406"/>
      <c r="F87" s="406"/>
      <c r="G87" s="406"/>
      <c r="H87" s="406"/>
      <c r="I87" s="406"/>
      <c r="J87" s="406"/>
      <c r="K87" s="406"/>
      <c r="L87" s="407"/>
      <c r="M87" s="406"/>
      <c r="N87" s="408"/>
    </row>
    <row r="88" spans="1:14" ht="13.5" thickBot="1">
      <c r="A88" s="168" t="s">
        <v>1296</v>
      </c>
      <c r="B88" s="169"/>
      <c r="C88" s="170"/>
      <c r="D88" s="170"/>
      <c r="E88" s="170"/>
      <c r="F88" s="409"/>
      <c r="G88" s="409"/>
      <c r="H88" s="410"/>
      <c r="I88" s="410"/>
      <c r="J88" s="112"/>
      <c r="K88" s="113" t="s">
        <v>1000</v>
      </c>
      <c r="L88" s="113"/>
      <c r="M88" s="114"/>
      <c r="N88" s="115">
        <f>SUM(N77-N80)</f>
        <v>0</v>
      </c>
    </row>
    <row r="89" ht="12.75" customHeight="1" thickBot="1" thickTop="1"/>
    <row r="90" spans="1:14" ht="12.75" customHeight="1" thickTop="1">
      <c r="A90" s="424" t="s">
        <v>992</v>
      </c>
      <c r="B90" s="425"/>
      <c r="C90" s="426"/>
      <c r="D90" s="430">
        <f>D61+1</f>
        <v>3</v>
      </c>
      <c r="E90" s="431"/>
      <c r="F90" s="215" t="s">
        <v>997</v>
      </c>
      <c r="G90" s="216"/>
      <c r="H90" s="217"/>
      <c r="I90" s="416"/>
      <c r="J90" s="417"/>
      <c r="K90" s="417"/>
      <c r="L90" s="103" t="s">
        <v>993</v>
      </c>
      <c r="M90" s="418"/>
      <c r="N90" s="419"/>
    </row>
    <row r="91" spans="1:14" ht="12.75" customHeight="1">
      <c r="A91" s="427"/>
      <c r="B91" s="428"/>
      <c r="C91" s="429"/>
      <c r="D91" s="432"/>
      <c r="E91" s="433"/>
      <c r="F91" s="178" t="s">
        <v>996</v>
      </c>
      <c r="G91" s="178"/>
      <c r="H91" s="178"/>
      <c r="I91" s="407"/>
      <c r="J91" s="407"/>
      <c r="K91" s="407"/>
      <c r="L91" s="406"/>
      <c r="M91" s="101"/>
      <c r="N91" s="104"/>
    </row>
    <row r="92" spans="1:14" ht="12.75">
      <c r="A92" s="414" t="s">
        <v>1011</v>
      </c>
      <c r="B92" s="183"/>
      <c r="C92" s="183"/>
      <c r="D92" s="183"/>
      <c r="E92" s="183"/>
      <c r="F92" s="183"/>
      <c r="G92" s="183"/>
      <c r="H92" s="183"/>
      <c r="I92" s="183"/>
      <c r="J92" s="225"/>
      <c r="K92" s="83" t="s">
        <v>1006</v>
      </c>
      <c r="L92" s="90">
        <f>SUM(+IF(N93="Win",1,0)+IF(N94="Win",1,0)+IF(N95="win",1,0)+IF(N99="win",1,0))</f>
        <v>0</v>
      </c>
      <c r="M92" s="83" t="s">
        <v>1007</v>
      </c>
      <c r="N92" s="105">
        <f>SUM(+IF(N93="Loss",1,0)+IF(N94="Loss",1,0)+IF(N95="loss",1,0)+IF(N99="Loss",1,0))</f>
        <v>0</v>
      </c>
    </row>
    <row r="93" spans="1:14" ht="12.75">
      <c r="A93" s="106" t="s">
        <v>1009</v>
      </c>
      <c r="B93" s="434"/>
      <c r="C93" s="246"/>
      <c r="D93" s="247"/>
      <c r="E93" s="189" t="s">
        <v>1304</v>
      </c>
      <c r="F93" s="191"/>
      <c r="G93" s="85"/>
      <c r="H93" s="199" t="s">
        <v>1303</v>
      </c>
      <c r="I93" s="200"/>
      <c r="J93" s="85"/>
      <c r="K93" s="82" t="s">
        <v>1302</v>
      </c>
      <c r="L93" s="102">
        <f>IF(G93-J93&gt;300,"+5",IF(G93-J93&gt;=151,"+4",IF(G93-J93&gt;=101,"+3",IF(G93-J93&gt;=76,"+2",IF(G93-J93&gt;=51,"+1",0)))))</f>
        <v>0</v>
      </c>
      <c r="M93" s="82" t="s">
        <v>1010</v>
      </c>
      <c r="N93" s="107"/>
    </row>
    <row r="94" spans="1:14" ht="12.75">
      <c r="A94" s="106" t="s">
        <v>1009</v>
      </c>
      <c r="B94" s="434"/>
      <c r="C94" s="246"/>
      <c r="D94" s="247"/>
      <c r="E94" s="189" t="s">
        <v>1304</v>
      </c>
      <c r="F94" s="191"/>
      <c r="G94" s="85"/>
      <c r="H94" s="199" t="s">
        <v>1303</v>
      </c>
      <c r="I94" s="200"/>
      <c r="J94" s="85"/>
      <c r="K94" s="82" t="s">
        <v>1302</v>
      </c>
      <c r="L94" s="102">
        <f>IF(G94-J94&gt;300,"+5",IF(G94-J94&gt;=151,"+4",IF(G94-J94&gt;=101,"+3",IF(G94-J94&gt;=76,"+2",IF(G94-J94&gt;=51,"+1",0)))))</f>
        <v>0</v>
      </c>
      <c r="M94" s="82" t="s">
        <v>1010</v>
      </c>
      <c r="N94" s="107"/>
    </row>
    <row r="95" spans="1:14" ht="12.75">
      <c r="A95" s="106" t="s">
        <v>1009</v>
      </c>
      <c r="B95" s="434"/>
      <c r="C95" s="246"/>
      <c r="D95" s="247"/>
      <c r="E95" s="189" t="s">
        <v>1304</v>
      </c>
      <c r="F95" s="191"/>
      <c r="G95" s="85"/>
      <c r="H95" s="199" t="s">
        <v>1303</v>
      </c>
      <c r="I95" s="200"/>
      <c r="J95" s="85"/>
      <c r="K95" s="82" t="s">
        <v>1302</v>
      </c>
      <c r="L95" s="102">
        <f>IF(G95-J95&gt;300,"+5",IF(G95-J95&gt;=151,"+4",IF(G95-J95&gt;=101,"+3",IF(G95-J95&gt;=76,"+2",IF(G95-J95&gt;=51,"+1",0)))))</f>
        <v>0</v>
      </c>
      <c r="M95" s="82" t="s">
        <v>1010</v>
      </c>
      <c r="N95" s="107"/>
    </row>
    <row r="96" spans="1:14" ht="12.75">
      <c r="A96" s="201" t="s">
        <v>3</v>
      </c>
      <c r="B96" s="202"/>
      <c r="C96" s="202"/>
      <c r="D96" s="202"/>
      <c r="E96" s="202"/>
      <c r="F96" s="202"/>
      <c r="G96" s="51"/>
      <c r="H96" s="178" t="s">
        <v>0</v>
      </c>
      <c r="I96" s="164"/>
      <c r="J96" s="164"/>
      <c r="K96" s="164"/>
      <c r="L96" s="164"/>
      <c r="M96" s="116"/>
      <c r="N96" s="108"/>
    </row>
    <row r="97" spans="1:14" ht="12.75">
      <c r="A97" s="186" t="s">
        <v>1297</v>
      </c>
      <c r="B97" s="164"/>
      <c r="C97" s="164"/>
      <c r="D97" s="86"/>
      <c r="E97" s="51"/>
      <c r="F97" s="51"/>
      <c r="G97" s="51"/>
      <c r="H97" s="178" t="s">
        <v>1</v>
      </c>
      <c r="I97" s="164"/>
      <c r="J97" s="164"/>
      <c r="K97" s="164"/>
      <c r="L97" s="164"/>
      <c r="M97" s="403"/>
      <c r="N97" s="404"/>
    </row>
    <row r="98" spans="1:14" ht="12.75">
      <c r="A98" s="186" t="s">
        <v>1298</v>
      </c>
      <c r="B98" s="164"/>
      <c r="C98" s="164"/>
      <c r="D98" s="86"/>
      <c r="E98" s="51"/>
      <c r="F98" s="51"/>
      <c r="G98" s="51"/>
      <c r="H98" s="51"/>
      <c r="I98" s="51"/>
      <c r="J98" s="51"/>
      <c r="K98" s="51"/>
      <c r="L98" s="51"/>
      <c r="M98" s="51"/>
      <c r="N98" s="108"/>
    </row>
    <row r="99" spans="1:14" ht="12.75">
      <c r="A99" s="119" t="s">
        <v>1307</v>
      </c>
      <c r="B99" s="434"/>
      <c r="C99" s="246"/>
      <c r="D99" s="247"/>
      <c r="E99" s="189" t="s">
        <v>1304</v>
      </c>
      <c r="F99" s="191"/>
      <c r="G99" s="85"/>
      <c r="H99" s="199" t="s">
        <v>1303</v>
      </c>
      <c r="I99" s="200"/>
      <c r="J99" s="85"/>
      <c r="K99" s="82" t="s">
        <v>1302</v>
      </c>
      <c r="L99" s="102">
        <f>IF(G99-J99&gt;300,"+5",IF(G99-J99&gt;=151,"+4",IF(G99-J99&gt;=101,"+3",IF(G99-J99&gt;=76,"+2",IF(G99-J99&gt;=51,"+1",0)))))</f>
        <v>0</v>
      </c>
      <c r="M99" s="82" t="s">
        <v>1010</v>
      </c>
      <c r="N99" s="107"/>
    </row>
    <row r="100" spans="1:14" ht="12.75">
      <c r="A100" s="153" t="s">
        <v>4</v>
      </c>
      <c r="B100" s="187"/>
      <c r="C100" s="187"/>
      <c r="D100" s="187"/>
      <c r="E100" s="187"/>
      <c r="F100" s="188"/>
      <c r="G100" s="189" t="s">
        <v>1299</v>
      </c>
      <c r="H100" s="190"/>
      <c r="I100" s="190"/>
      <c r="J100" s="190"/>
      <c r="K100" s="190"/>
      <c r="L100" s="191"/>
      <c r="M100" s="85"/>
      <c r="N100" s="120"/>
    </row>
    <row r="101" spans="1:14" ht="12.75">
      <c r="A101" s="192" t="s">
        <v>738</v>
      </c>
      <c r="B101" s="193"/>
      <c r="C101" s="79" t="s">
        <v>739</v>
      </c>
      <c r="D101" s="86"/>
      <c r="E101" s="80" t="s">
        <v>740</v>
      </c>
      <c r="F101" s="86"/>
      <c r="G101" s="80" t="s">
        <v>741</v>
      </c>
      <c r="H101" s="86"/>
      <c r="I101" s="80" t="s">
        <v>742</v>
      </c>
      <c r="J101" s="117"/>
      <c r="K101" s="182" t="s">
        <v>748</v>
      </c>
      <c r="L101" s="161"/>
      <c r="M101" s="162"/>
      <c r="N101" s="110"/>
    </row>
    <row r="102" spans="1:14" ht="12.75">
      <c r="A102" s="194"/>
      <c r="B102" s="195"/>
      <c r="C102" s="75" t="s">
        <v>743</v>
      </c>
      <c r="D102" s="87"/>
      <c r="E102" s="81" t="s">
        <v>744</v>
      </c>
      <c r="F102" s="87"/>
      <c r="G102" s="81" t="s">
        <v>745</v>
      </c>
      <c r="H102" s="87"/>
      <c r="I102" s="81" t="s">
        <v>746</v>
      </c>
      <c r="J102" s="100"/>
      <c r="K102" s="178" t="s">
        <v>756</v>
      </c>
      <c r="L102" s="178"/>
      <c r="M102" s="178"/>
      <c r="N102" s="110"/>
    </row>
    <row r="103" spans="1:14" ht="12.75">
      <c r="A103" s="179" t="s">
        <v>998</v>
      </c>
      <c r="B103" s="161"/>
      <c r="C103" s="162"/>
      <c r="D103" s="100"/>
      <c r="E103" s="178" t="s">
        <v>999</v>
      </c>
      <c r="F103" s="164"/>
      <c r="G103" s="164"/>
      <c r="H103" s="164"/>
      <c r="I103" s="164"/>
      <c r="J103" s="118">
        <f>IF(D101&gt;0,VLOOKUP(SUM(D101+F101+H101+J101+D102+F102+H102+J102),ShardsFound,2),0)+D103</f>
        <v>0</v>
      </c>
      <c r="K103" s="182" t="s">
        <v>524</v>
      </c>
      <c r="L103" s="162"/>
      <c r="M103" s="87"/>
      <c r="N103" s="109"/>
    </row>
    <row r="104" spans="1:14" ht="12.75">
      <c r="A104" s="153" t="s">
        <v>758</v>
      </c>
      <c r="B104" s="183"/>
      <c r="C104" s="183"/>
      <c r="D104" s="183"/>
      <c r="E104" s="184"/>
      <c r="F104" s="185"/>
      <c r="G104" s="51"/>
      <c r="H104" s="51"/>
      <c r="I104" s="51"/>
      <c r="J104" s="51"/>
      <c r="K104" s="78" t="s">
        <v>752</v>
      </c>
      <c r="L104" s="78"/>
      <c r="M104" s="78"/>
      <c r="N104" s="111">
        <f>IF(M103&gt;0,VLOOKUP(M103,Shards,VLOOKUP(M100,Warriors,2)),0)</f>
        <v>0</v>
      </c>
    </row>
    <row r="105" spans="1:14" ht="12.75">
      <c r="A105" s="179" t="s">
        <v>757</v>
      </c>
      <c r="B105" s="161"/>
      <c r="C105" s="161"/>
      <c r="D105" s="161"/>
      <c r="E105" s="453"/>
      <c r="F105" s="162"/>
      <c r="G105" s="178" t="s">
        <v>1308</v>
      </c>
      <c r="H105" s="178"/>
      <c r="I105" s="178"/>
      <c r="J105" s="100"/>
      <c r="K105" s="178" t="s">
        <v>6</v>
      </c>
      <c r="L105" s="164"/>
      <c r="M105" s="164"/>
      <c r="N105" s="151">
        <f>IF(I91="Able to Loot",IF(M96="No",D97*E105,0),0)</f>
        <v>0</v>
      </c>
    </row>
    <row r="106" spans="1:14" ht="12.75">
      <c r="A106" s="153" t="s">
        <v>749</v>
      </c>
      <c r="B106" s="180"/>
      <c r="C106" s="180"/>
      <c r="D106" s="180"/>
      <c r="E106" s="180"/>
      <c r="F106" s="181"/>
      <c r="G106" s="51"/>
      <c r="H106" s="51"/>
      <c r="I106" s="51"/>
      <c r="J106" s="51"/>
      <c r="K106" s="178" t="s">
        <v>755</v>
      </c>
      <c r="L106" s="178"/>
      <c r="M106" s="178"/>
      <c r="N106" s="111">
        <f>SUM(N104+N101+N105+N102)</f>
        <v>0</v>
      </c>
    </row>
    <row r="107" spans="1:14" ht="12.75">
      <c r="A107" s="179" t="s">
        <v>751</v>
      </c>
      <c r="B107" s="161"/>
      <c r="C107" s="161"/>
      <c r="D107" s="162"/>
      <c r="E107" s="86"/>
      <c r="F107" s="178" t="s">
        <v>754</v>
      </c>
      <c r="G107" s="178"/>
      <c r="H107" s="178"/>
      <c r="I107" s="87"/>
      <c r="J107" s="51"/>
      <c r="K107" s="51"/>
      <c r="L107" s="51"/>
      <c r="M107" s="51"/>
      <c r="N107" s="108"/>
    </row>
    <row r="108" spans="1:14" ht="12.75">
      <c r="A108" s="179" t="s">
        <v>750</v>
      </c>
      <c r="B108" s="161"/>
      <c r="C108" s="161"/>
      <c r="D108" s="162"/>
      <c r="E108" s="88"/>
      <c r="F108" s="51"/>
      <c r="G108" s="51"/>
      <c r="H108" s="51"/>
      <c r="I108" s="51"/>
      <c r="J108" s="51"/>
      <c r="K108" s="51"/>
      <c r="L108" s="51"/>
      <c r="M108" s="51"/>
      <c r="N108" s="108"/>
    </row>
    <row r="109" spans="1:14" ht="12.75">
      <c r="A109" s="163" t="s">
        <v>753</v>
      </c>
      <c r="B109" s="178"/>
      <c r="C109" s="178"/>
      <c r="D109" s="164"/>
      <c r="E109" s="87"/>
      <c r="F109" s="178" t="s">
        <v>5</v>
      </c>
      <c r="G109" s="164"/>
      <c r="H109" s="164"/>
      <c r="I109" s="164"/>
      <c r="J109" s="40">
        <f>SUM('Additional Members'!F$89+'Additional Members'!F$98+'Additional Members'!F$107+'Additional Members'!F$123+'Additional Members'!F$132)</f>
        <v>0</v>
      </c>
      <c r="K109" s="178" t="s">
        <v>1300</v>
      </c>
      <c r="L109" s="159"/>
      <c r="M109" s="159"/>
      <c r="N109" s="111">
        <f>SUM(E107+E108+E109+I107)</f>
        <v>0</v>
      </c>
    </row>
    <row r="110" spans="1:14" ht="12.75">
      <c r="A110" s="414" t="s">
        <v>532</v>
      </c>
      <c r="B110" s="183"/>
      <c r="C110" s="183"/>
      <c r="D110" s="183"/>
      <c r="E110" s="183"/>
      <c r="F110" s="183"/>
      <c r="G110" s="183"/>
      <c r="H110" s="183"/>
      <c r="I110" s="183"/>
      <c r="J110" s="183"/>
      <c r="K110" s="225"/>
      <c r="L110" s="415" t="s">
        <v>1001</v>
      </c>
      <c r="M110" s="161"/>
      <c r="N110" s="413"/>
    </row>
    <row r="111" spans="1:14" ht="12.75">
      <c r="A111" s="411"/>
      <c r="B111" s="161"/>
      <c r="C111" s="161"/>
      <c r="D111" s="161"/>
      <c r="E111" s="161"/>
      <c r="F111" s="161"/>
      <c r="G111" s="161"/>
      <c r="H111" s="161"/>
      <c r="I111" s="161"/>
      <c r="J111" s="161"/>
      <c r="K111" s="162"/>
      <c r="L111" s="412"/>
      <c r="M111" s="161"/>
      <c r="N111" s="413"/>
    </row>
    <row r="112" spans="1:14" ht="12.75">
      <c r="A112" s="411"/>
      <c r="B112" s="161"/>
      <c r="C112" s="161"/>
      <c r="D112" s="161"/>
      <c r="E112" s="161"/>
      <c r="F112" s="161"/>
      <c r="G112" s="161"/>
      <c r="H112" s="161"/>
      <c r="I112" s="161"/>
      <c r="J112" s="161"/>
      <c r="K112" s="162"/>
      <c r="L112" s="412"/>
      <c r="M112" s="161"/>
      <c r="N112" s="413"/>
    </row>
    <row r="113" spans="1:14" ht="12.75">
      <c r="A113" s="411"/>
      <c r="B113" s="161"/>
      <c r="C113" s="161"/>
      <c r="D113" s="161"/>
      <c r="E113" s="161"/>
      <c r="F113" s="161"/>
      <c r="G113" s="161"/>
      <c r="H113" s="161"/>
      <c r="I113" s="161"/>
      <c r="J113" s="161"/>
      <c r="K113" s="162"/>
      <c r="L113" s="412"/>
      <c r="M113" s="161"/>
      <c r="N113" s="413"/>
    </row>
    <row r="114" spans="1:14" ht="12.75">
      <c r="A114" s="411"/>
      <c r="B114" s="161"/>
      <c r="C114" s="161"/>
      <c r="D114" s="161"/>
      <c r="E114" s="161"/>
      <c r="F114" s="161"/>
      <c r="G114" s="161"/>
      <c r="H114" s="161"/>
      <c r="I114" s="161"/>
      <c r="J114" s="161"/>
      <c r="K114" s="162"/>
      <c r="L114" s="412"/>
      <c r="M114" s="161"/>
      <c r="N114" s="413"/>
    </row>
    <row r="115" spans="1:14" ht="12.75">
      <c r="A115" s="411"/>
      <c r="B115" s="161"/>
      <c r="C115" s="161"/>
      <c r="D115" s="161"/>
      <c r="E115" s="161"/>
      <c r="F115" s="161"/>
      <c r="G115" s="161"/>
      <c r="H115" s="161"/>
      <c r="I115" s="161"/>
      <c r="J115" s="161"/>
      <c r="K115" s="162"/>
      <c r="L115" s="412"/>
      <c r="M115" s="161"/>
      <c r="N115" s="413"/>
    </row>
    <row r="116" spans="1:14" ht="12.75">
      <c r="A116" s="405"/>
      <c r="B116" s="406"/>
      <c r="C116" s="406"/>
      <c r="D116" s="406"/>
      <c r="E116" s="406"/>
      <c r="F116" s="406"/>
      <c r="G116" s="406"/>
      <c r="H116" s="406"/>
      <c r="I116" s="406"/>
      <c r="J116" s="406"/>
      <c r="K116" s="406"/>
      <c r="L116" s="407"/>
      <c r="M116" s="406"/>
      <c r="N116" s="408"/>
    </row>
    <row r="117" spans="1:14" ht="13.5" thickBot="1">
      <c r="A117" s="168" t="s">
        <v>1296</v>
      </c>
      <c r="B117" s="169"/>
      <c r="C117" s="170"/>
      <c r="D117" s="170"/>
      <c r="E117" s="170"/>
      <c r="F117" s="409"/>
      <c r="G117" s="409"/>
      <c r="H117" s="410"/>
      <c r="I117" s="410"/>
      <c r="J117" s="112"/>
      <c r="K117" s="113" t="s">
        <v>1000</v>
      </c>
      <c r="L117" s="113"/>
      <c r="M117" s="114"/>
      <c r="N117" s="115">
        <f>SUM(N106-N109)</f>
        <v>0</v>
      </c>
    </row>
    <row r="118" spans="1:14" ht="15.75" thickTop="1">
      <c r="A118" s="67" t="s">
        <v>1003</v>
      </c>
      <c r="B118" s="420">
        <f>SUBSTITUTE(Heroes!F$1,0,"")</f>
      </c>
      <c r="C118" s="421"/>
      <c r="D118" s="421"/>
      <c r="E118" s="422"/>
      <c r="F118" s="422"/>
      <c r="G118" s="422"/>
      <c r="H118" s="422"/>
      <c r="I118" s="422"/>
      <c r="J118" s="422"/>
      <c r="K118" s="422"/>
      <c r="L118" s="422"/>
      <c r="M118" s="422"/>
      <c r="N118" s="423"/>
    </row>
    <row r="119" ht="13.5" thickBot="1"/>
    <row r="120" spans="1:14" ht="12.75" customHeight="1" thickTop="1">
      <c r="A120" s="424" t="s">
        <v>992</v>
      </c>
      <c r="B120" s="425"/>
      <c r="C120" s="426"/>
      <c r="D120" s="430">
        <f>D61+2</f>
        <v>4</v>
      </c>
      <c r="E120" s="431"/>
      <c r="F120" s="215" t="s">
        <v>997</v>
      </c>
      <c r="G120" s="216"/>
      <c r="H120" s="217"/>
      <c r="I120" s="416"/>
      <c r="J120" s="417"/>
      <c r="K120" s="417"/>
      <c r="L120" s="103" t="s">
        <v>993</v>
      </c>
      <c r="M120" s="418"/>
      <c r="N120" s="419"/>
    </row>
    <row r="121" spans="1:14" ht="12.75" customHeight="1">
      <c r="A121" s="427"/>
      <c r="B121" s="428"/>
      <c r="C121" s="429"/>
      <c r="D121" s="432"/>
      <c r="E121" s="433"/>
      <c r="F121" s="178" t="s">
        <v>996</v>
      </c>
      <c r="G121" s="178"/>
      <c r="H121" s="178"/>
      <c r="I121" s="407"/>
      <c r="J121" s="407"/>
      <c r="K121" s="407"/>
      <c r="L121" s="406"/>
      <c r="M121" s="101"/>
      <c r="N121" s="104"/>
    </row>
    <row r="122" spans="1:14" ht="12.75">
      <c r="A122" s="414" t="s">
        <v>1011</v>
      </c>
      <c r="B122" s="183"/>
      <c r="C122" s="183"/>
      <c r="D122" s="183"/>
      <c r="E122" s="183"/>
      <c r="F122" s="183"/>
      <c r="G122" s="183"/>
      <c r="H122" s="183"/>
      <c r="I122" s="183"/>
      <c r="J122" s="225"/>
      <c r="K122" s="83" t="s">
        <v>1006</v>
      </c>
      <c r="L122" s="90">
        <f>SUM(+IF(N123="Win",1,0)+IF(N124="Win",1,0)+IF(N125="win",1,0)+IF(N129="win",1,0))</f>
        <v>0</v>
      </c>
      <c r="M122" s="83" t="s">
        <v>1007</v>
      </c>
      <c r="N122" s="105">
        <f>SUM(+IF(N123="Loss",1,0)+IF(N124="Loss",1,0)+IF(N125="loss",1,0)+IF(N129="Loss",1,0))</f>
        <v>0</v>
      </c>
    </row>
    <row r="123" spans="1:14" ht="12.75">
      <c r="A123" s="106" t="s">
        <v>1009</v>
      </c>
      <c r="B123" s="434"/>
      <c r="C123" s="246"/>
      <c r="D123" s="247"/>
      <c r="E123" s="189" t="s">
        <v>1304</v>
      </c>
      <c r="F123" s="191"/>
      <c r="G123" s="85"/>
      <c r="H123" s="199" t="s">
        <v>1303</v>
      </c>
      <c r="I123" s="200"/>
      <c r="J123" s="85"/>
      <c r="K123" s="82" t="s">
        <v>1302</v>
      </c>
      <c r="L123" s="102">
        <f>IF(G123-J123&gt;300,"+5",IF(G123-J123&gt;=151,"+4",IF(G123-J123&gt;=101,"+3",IF(G123-J123&gt;=76,"+2",IF(G123-J123&gt;=51,"+1",0)))))</f>
        <v>0</v>
      </c>
      <c r="M123" s="82" t="s">
        <v>1010</v>
      </c>
      <c r="N123" s="107"/>
    </row>
    <row r="124" spans="1:14" ht="12.75">
      <c r="A124" s="106" t="s">
        <v>1009</v>
      </c>
      <c r="B124" s="434"/>
      <c r="C124" s="246"/>
      <c r="D124" s="247"/>
      <c r="E124" s="189" t="s">
        <v>1304</v>
      </c>
      <c r="F124" s="191"/>
      <c r="G124" s="85"/>
      <c r="H124" s="199" t="s">
        <v>1303</v>
      </c>
      <c r="I124" s="200"/>
      <c r="J124" s="85"/>
      <c r="K124" s="82" t="s">
        <v>1302</v>
      </c>
      <c r="L124" s="102">
        <f>IF(G124-J124&gt;300,"+5",IF(G124-J124&gt;=151,"+4",IF(G124-J124&gt;=101,"+3",IF(G124-J124&gt;=76,"+2",IF(G124-J124&gt;=51,"+1",0)))))</f>
        <v>0</v>
      </c>
      <c r="M124" s="82" t="s">
        <v>1010</v>
      </c>
      <c r="N124" s="107"/>
    </row>
    <row r="125" spans="1:14" ht="12.75">
      <c r="A125" s="106" t="s">
        <v>1009</v>
      </c>
      <c r="B125" s="434"/>
      <c r="C125" s="246"/>
      <c r="D125" s="247"/>
      <c r="E125" s="189" t="s">
        <v>1304</v>
      </c>
      <c r="F125" s="191"/>
      <c r="G125" s="85"/>
      <c r="H125" s="199" t="s">
        <v>1303</v>
      </c>
      <c r="I125" s="200"/>
      <c r="J125" s="85"/>
      <c r="K125" s="82" t="s">
        <v>1302</v>
      </c>
      <c r="L125" s="102">
        <f>IF(G125-J125&gt;300,"+5",IF(G125-J125&gt;=151,"+4",IF(G125-J125&gt;=101,"+3",IF(G125-J125&gt;=76,"+2",IF(G125-J125&gt;=51,"+1",0)))))</f>
        <v>0</v>
      </c>
      <c r="M125" s="82" t="s">
        <v>1010</v>
      </c>
      <c r="N125" s="107"/>
    </row>
    <row r="126" spans="1:14" ht="12.75">
      <c r="A126" s="201" t="s">
        <v>3</v>
      </c>
      <c r="B126" s="202"/>
      <c r="C126" s="202"/>
      <c r="D126" s="202"/>
      <c r="E126" s="202"/>
      <c r="F126" s="202"/>
      <c r="G126" s="51"/>
      <c r="H126" s="178" t="s">
        <v>0</v>
      </c>
      <c r="I126" s="164"/>
      <c r="J126" s="164"/>
      <c r="K126" s="164"/>
      <c r="L126" s="164"/>
      <c r="M126" s="116"/>
      <c r="N126" s="108"/>
    </row>
    <row r="127" spans="1:14" ht="12.75">
      <c r="A127" s="186" t="s">
        <v>1297</v>
      </c>
      <c r="B127" s="164"/>
      <c r="C127" s="164"/>
      <c r="D127" s="86"/>
      <c r="E127" s="51"/>
      <c r="F127" s="51"/>
      <c r="G127" s="51"/>
      <c r="H127" s="178" t="s">
        <v>1</v>
      </c>
      <c r="I127" s="164"/>
      <c r="J127" s="164"/>
      <c r="K127" s="164"/>
      <c r="L127" s="164"/>
      <c r="M127" s="403"/>
      <c r="N127" s="404"/>
    </row>
    <row r="128" spans="1:14" ht="12.75">
      <c r="A128" s="186" t="s">
        <v>1298</v>
      </c>
      <c r="B128" s="164"/>
      <c r="C128" s="164"/>
      <c r="D128" s="86"/>
      <c r="E128" s="51"/>
      <c r="F128" s="51"/>
      <c r="G128" s="51"/>
      <c r="H128" s="51"/>
      <c r="I128" s="51"/>
      <c r="J128" s="51"/>
      <c r="K128" s="51"/>
      <c r="L128" s="51"/>
      <c r="M128" s="51"/>
      <c r="N128" s="108"/>
    </row>
    <row r="129" spans="1:14" ht="12.75">
      <c r="A129" s="119" t="s">
        <v>1307</v>
      </c>
      <c r="B129" s="434"/>
      <c r="C129" s="246"/>
      <c r="D129" s="247"/>
      <c r="E129" s="189" t="s">
        <v>1304</v>
      </c>
      <c r="F129" s="191"/>
      <c r="G129" s="85"/>
      <c r="H129" s="199" t="s">
        <v>1303</v>
      </c>
      <c r="I129" s="200"/>
      <c r="J129" s="85"/>
      <c r="K129" s="82" t="s">
        <v>1302</v>
      </c>
      <c r="L129" s="102">
        <f>IF(G129-J129&gt;300,"+5",IF(G129-J129&gt;=151,"+4",IF(G129-J129&gt;=101,"+3",IF(G129-J129&gt;=76,"+2",IF(G129-J129&gt;=51,"+1",0)))))</f>
        <v>0</v>
      </c>
      <c r="M129" s="82" t="s">
        <v>1010</v>
      </c>
      <c r="N129" s="107"/>
    </row>
    <row r="130" spans="1:14" ht="12.75">
      <c r="A130" s="153" t="s">
        <v>4</v>
      </c>
      <c r="B130" s="187"/>
      <c r="C130" s="187"/>
      <c r="D130" s="187"/>
      <c r="E130" s="187"/>
      <c r="F130" s="188"/>
      <c r="G130" s="189" t="s">
        <v>1299</v>
      </c>
      <c r="H130" s="190"/>
      <c r="I130" s="190"/>
      <c r="J130" s="190"/>
      <c r="K130" s="190"/>
      <c r="L130" s="191"/>
      <c r="M130" s="85"/>
      <c r="N130" s="120"/>
    </row>
    <row r="131" spans="1:14" ht="12.75">
      <c r="A131" s="192" t="s">
        <v>738</v>
      </c>
      <c r="B131" s="193"/>
      <c r="C131" s="79" t="s">
        <v>739</v>
      </c>
      <c r="D131" s="86"/>
      <c r="E131" s="80" t="s">
        <v>740</v>
      </c>
      <c r="F131" s="86"/>
      <c r="G131" s="80" t="s">
        <v>741</v>
      </c>
      <c r="H131" s="86"/>
      <c r="I131" s="80" t="s">
        <v>742</v>
      </c>
      <c r="J131" s="117"/>
      <c r="K131" s="182" t="s">
        <v>748</v>
      </c>
      <c r="L131" s="161"/>
      <c r="M131" s="162"/>
      <c r="N131" s="110"/>
    </row>
    <row r="132" spans="1:14" ht="12.75">
      <c r="A132" s="194"/>
      <c r="B132" s="195"/>
      <c r="C132" s="75" t="s">
        <v>743</v>
      </c>
      <c r="D132" s="87"/>
      <c r="E132" s="81" t="s">
        <v>744</v>
      </c>
      <c r="F132" s="87"/>
      <c r="G132" s="81" t="s">
        <v>745</v>
      </c>
      <c r="H132" s="87"/>
      <c r="I132" s="81" t="s">
        <v>746</v>
      </c>
      <c r="J132" s="100"/>
      <c r="K132" s="178" t="s">
        <v>756</v>
      </c>
      <c r="L132" s="178"/>
      <c r="M132" s="178"/>
      <c r="N132" s="110"/>
    </row>
    <row r="133" spans="1:14" ht="12.75">
      <c r="A133" s="179" t="s">
        <v>998</v>
      </c>
      <c r="B133" s="161"/>
      <c r="C133" s="162"/>
      <c r="D133" s="100"/>
      <c r="E133" s="178" t="s">
        <v>999</v>
      </c>
      <c r="F133" s="164"/>
      <c r="G133" s="164"/>
      <c r="H133" s="164"/>
      <c r="I133" s="164"/>
      <c r="J133" s="118">
        <f>IF(D131&gt;0,VLOOKUP(SUM(D131+F131+H131+J131+D132+F132+H132+J132),ShardsFound,2),0)+D133</f>
        <v>0</v>
      </c>
      <c r="K133" s="182" t="s">
        <v>524</v>
      </c>
      <c r="L133" s="162"/>
      <c r="M133" s="87"/>
      <c r="N133" s="109"/>
    </row>
    <row r="134" spans="1:14" ht="12.75">
      <c r="A134" s="153" t="s">
        <v>758</v>
      </c>
      <c r="B134" s="183"/>
      <c r="C134" s="183"/>
      <c r="D134" s="183"/>
      <c r="E134" s="184"/>
      <c r="F134" s="185"/>
      <c r="G134" s="51"/>
      <c r="H134" s="51"/>
      <c r="I134" s="51"/>
      <c r="J134" s="51"/>
      <c r="K134" s="78" t="s">
        <v>752</v>
      </c>
      <c r="L134" s="78"/>
      <c r="M134" s="78"/>
      <c r="N134" s="111">
        <f>IF(M133&gt;0,VLOOKUP(M133,Shards,VLOOKUP(M130,Warriors,2)),0)</f>
        <v>0</v>
      </c>
    </row>
    <row r="135" spans="1:14" ht="12.75">
      <c r="A135" s="179" t="s">
        <v>757</v>
      </c>
      <c r="B135" s="161"/>
      <c r="C135" s="161"/>
      <c r="D135" s="161"/>
      <c r="E135" s="453"/>
      <c r="F135" s="162"/>
      <c r="G135" s="178" t="s">
        <v>1308</v>
      </c>
      <c r="H135" s="178"/>
      <c r="I135" s="178"/>
      <c r="J135" s="100"/>
      <c r="K135" s="178" t="s">
        <v>6</v>
      </c>
      <c r="L135" s="164"/>
      <c r="M135" s="164"/>
      <c r="N135" s="151">
        <f>IF(I121="Able to Loot",IF(M126="No",D127*E135,0),0)</f>
        <v>0</v>
      </c>
    </row>
    <row r="136" spans="1:14" ht="12.75">
      <c r="A136" s="153" t="s">
        <v>749</v>
      </c>
      <c r="B136" s="180"/>
      <c r="C136" s="180"/>
      <c r="D136" s="180"/>
      <c r="E136" s="180"/>
      <c r="F136" s="181"/>
      <c r="G136" s="51"/>
      <c r="H136" s="51"/>
      <c r="I136" s="51"/>
      <c r="J136" s="51"/>
      <c r="K136" s="178" t="s">
        <v>755</v>
      </c>
      <c r="L136" s="178"/>
      <c r="M136" s="178"/>
      <c r="N136" s="111">
        <f>SUM(N134+N131+N135+N132)</f>
        <v>0</v>
      </c>
    </row>
    <row r="137" spans="1:14" ht="12.75">
      <c r="A137" s="179" t="s">
        <v>751</v>
      </c>
      <c r="B137" s="161"/>
      <c r="C137" s="161"/>
      <c r="D137" s="162"/>
      <c r="E137" s="86"/>
      <c r="F137" s="178" t="s">
        <v>754</v>
      </c>
      <c r="G137" s="178"/>
      <c r="H137" s="178"/>
      <c r="I137" s="87"/>
      <c r="J137" s="51"/>
      <c r="K137" s="51"/>
      <c r="L137" s="51"/>
      <c r="M137" s="51"/>
      <c r="N137" s="108"/>
    </row>
    <row r="138" spans="1:14" ht="12.75">
      <c r="A138" s="179" t="s">
        <v>750</v>
      </c>
      <c r="B138" s="161"/>
      <c r="C138" s="161"/>
      <c r="D138" s="162"/>
      <c r="E138" s="88"/>
      <c r="F138" s="51"/>
      <c r="G138" s="51"/>
      <c r="H138" s="51"/>
      <c r="I138" s="51"/>
      <c r="J138" s="51"/>
      <c r="K138" s="51"/>
      <c r="L138" s="51"/>
      <c r="M138" s="51"/>
      <c r="N138" s="108"/>
    </row>
    <row r="139" spans="1:14" ht="12.75">
      <c r="A139" s="163" t="s">
        <v>753</v>
      </c>
      <c r="B139" s="178"/>
      <c r="C139" s="178"/>
      <c r="D139" s="164"/>
      <c r="E139" s="87"/>
      <c r="F139" s="178" t="s">
        <v>5</v>
      </c>
      <c r="G139" s="164"/>
      <c r="H139" s="164"/>
      <c r="I139" s="164"/>
      <c r="J139" s="40">
        <f>SUM('Additional Members'!F$89+'Additional Members'!F$98+'Additional Members'!F$107+'Additional Members'!F$123+'Additional Members'!F$132)</f>
        <v>0</v>
      </c>
      <c r="K139" s="178" t="s">
        <v>1300</v>
      </c>
      <c r="L139" s="159"/>
      <c r="M139" s="159"/>
      <c r="N139" s="111">
        <f>SUM(E137+E138+E139+I137)</f>
        <v>0</v>
      </c>
    </row>
    <row r="140" spans="1:14" ht="12.75">
      <c r="A140" s="414" t="s">
        <v>532</v>
      </c>
      <c r="B140" s="183"/>
      <c r="C140" s="183"/>
      <c r="D140" s="183"/>
      <c r="E140" s="183"/>
      <c r="F140" s="183"/>
      <c r="G140" s="183"/>
      <c r="H140" s="183"/>
      <c r="I140" s="183"/>
      <c r="J140" s="183"/>
      <c r="K140" s="225"/>
      <c r="L140" s="415" t="s">
        <v>1001</v>
      </c>
      <c r="M140" s="161"/>
      <c r="N140" s="413"/>
    </row>
    <row r="141" spans="1:14" ht="12.75">
      <c r="A141" s="411"/>
      <c r="B141" s="161"/>
      <c r="C141" s="161"/>
      <c r="D141" s="161"/>
      <c r="E141" s="161"/>
      <c r="F141" s="161"/>
      <c r="G141" s="161"/>
      <c r="H141" s="161"/>
      <c r="I141" s="161"/>
      <c r="J141" s="161"/>
      <c r="K141" s="162"/>
      <c r="L141" s="412"/>
      <c r="M141" s="161"/>
      <c r="N141" s="413"/>
    </row>
    <row r="142" spans="1:14" ht="12.75">
      <c r="A142" s="411"/>
      <c r="B142" s="161"/>
      <c r="C142" s="161"/>
      <c r="D142" s="161"/>
      <c r="E142" s="161"/>
      <c r="F142" s="161"/>
      <c r="G142" s="161"/>
      <c r="H142" s="161"/>
      <c r="I142" s="161"/>
      <c r="J142" s="161"/>
      <c r="K142" s="162"/>
      <c r="L142" s="412"/>
      <c r="M142" s="161"/>
      <c r="N142" s="413"/>
    </row>
    <row r="143" spans="1:14" ht="12.75" customHeight="1">
      <c r="A143" s="411"/>
      <c r="B143" s="161"/>
      <c r="C143" s="161"/>
      <c r="D143" s="161"/>
      <c r="E143" s="161"/>
      <c r="F143" s="161"/>
      <c r="G143" s="161"/>
      <c r="H143" s="161"/>
      <c r="I143" s="161"/>
      <c r="J143" s="161"/>
      <c r="K143" s="162"/>
      <c r="L143" s="412"/>
      <c r="M143" s="161"/>
      <c r="N143" s="413"/>
    </row>
    <row r="144" spans="1:14" ht="12.75">
      <c r="A144" s="411"/>
      <c r="B144" s="161"/>
      <c r="C144" s="161"/>
      <c r="D144" s="161"/>
      <c r="E144" s="161"/>
      <c r="F144" s="161"/>
      <c r="G144" s="161"/>
      <c r="H144" s="161"/>
      <c r="I144" s="161"/>
      <c r="J144" s="161"/>
      <c r="K144" s="162"/>
      <c r="L144" s="412"/>
      <c r="M144" s="161"/>
      <c r="N144" s="413"/>
    </row>
    <row r="145" spans="1:14" ht="12.75">
      <c r="A145" s="411"/>
      <c r="B145" s="161"/>
      <c r="C145" s="161"/>
      <c r="D145" s="161"/>
      <c r="E145" s="161"/>
      <c r="F145" s="161"/>
      <c r="G145" s="161"/>
      <c r="H145" s="161"/>
      <c r="I145" s="161"/>
      <c r="J145" s="161"/>
      <c r="K145" s="162"/>
      <c r="L145" s="412"/>
      <c r="M145" s="161"/>
      <c r="N145" s="413"/>
    </row>
    <row r="146" spans="1:14" ht="12.75">
      <c r="A146" s="405"/>
      <c r="B146" s="406"/>
      <c r="C146" s="406"/>
      <c r="D146" s="406"/>
      <c r="E146" s="406"/>
      <c r="F146" s="406"/>
      <c r="G146" s="406"/>
      <c r="H146" s="406"/>
      <c r="I146" s="406"/>
      <c r="J146" s="406"/>
      <c r="K146" s="406"/>
      <c r="L146" s="407"/>
      <c r="M146" s="406"/>
      <c r="N146" s="408"/>
    </row>
    <row r="147" spans="1:14" ht="13.5" thickBot="1">
      <c r="A147" s="168" t="s">
        <v>1296</v>
      </c>
      <c r="B147" s="169"/>
      <c r="C147" s="170"/>
      <c r="D147" s="170"/>
      <c r="E147" s="170"/>
      <c r="F147" s="409"/>
      <c r="G147" s="409"/>
      <c r="H147" s="410"/>
      <c r="I147" s="410"/>
      <c r="J147" s="112"/>
      <c r="K147" s="113" t="s">
        <v>1000</v>
      </c>
      <c r="L147" s="113"/>
      <c r="M147" s="114"/>
      <c r="N147" s="115">
        <f>SUM(N136-N139)</f>
        <v>0</v>
      </c>
    </row>
    <row r="148" ht="12.75" customHeight="1" thickBot="1" thickTop="1"/>
    <row r="149" spans="1:14" ht="12.75" customHeight="1" thickTop="1">
      <c r="A149" s="424" t="s">
        <v>992</v>
      </c>
      <c r="B149" s="425"/>
      <c r="C149" s="426"/>
      <c r="D149" s="430">
        <f>D120+1</f>
        <v>5</v>
      </c>
      <c r="E149" s="431"/>
      <c r="F149" s="215" t="s">
        <v>997</v>
      </c>
      <c r="G149" s="216"/>
      <c r="H149" s="217"/>
      <c r="I149" s="416"/>
      <c r="J149" s="417"/>
      <c r="K149" s="417"/>
      <c r="L149" s="103" t="s">
        <v>993</v>
      </c>
      <c r="M149" s="418"/>
      <c r="N149" s="419"/>
    </row>
    <row r="150" spans="1:14" ht="12.75" customHeight="1">
      <c r="A150" s="427"/>
      <c r="B150" s="428"/>
      <c r="C150" s="429"/>
      <c r="D150" s="432"/>
      <c r="E150" s="433"/>
      <c r="F150" s="178" t="s">
        <v>996</v>
      </c>
      <c r="G150" s="178"/>
      <c r="H150" s="178"/>
      <c r="I150" s="407"/>
      <c r="J150" s="407"/>
      <c r="K150" s="407"/>
      <c r="L150" s="406"/>
      <c r="M150" s="101"/>
      <c r="N150" s="104"/>
    </row>
    <row r="151" spans="1:14" ht="12.75">
      <c r="A151" s="414" t="s">
        <v>1011</v>
      </c>
      <c r="B151" s="183"/>
      <c r="C151" s="183"/>
      <c r="D151" s="183"/>
      <c r="E151" s="183"/>
      <c r="F151" s="183"/>
      <c r="G151" s="183"/>
      <c r="H151" s="183"/>
      <c r="I151" s="183"/>
      <c r="J151" s="225"/>
      <c r="K151" s="83" t="s">
        <v>1006</v>
      </c>
      <c r="L151" s="90">
        <f>SUM(+IF(N152="Win",1,0)+IF(N153="Win",1,0)+IF(N154="win",1,0)+IF(N158="win",1,0))</f>
        <v>0</v>
      </c>
      <c r="M151" s="83" t="s">
        <v>1007</v>
      </c>
      <c r="N151" s="105">
        <f>SUM(+IF(N152="Loss",1,0)+IF(N153="Loss",1,0)+IF(N154="loss",1,0)+IF(N158="Loss",1,0))</f>
        <v>0</v>
      </c>
    </row>
    <row r="152" spans="1:14" ht="12.75">
      <c r="A152" s="106" t="s">
        <v>1009</v>
      </c>
      <c r="B152" s="434"/>
      <c r="C152" s="246"/>
      <c r="D152" s="247"/>
      <c r="E152" s="189" t="s">
        <v>1304</v>
      </c>
      <c r="F152" s="191"/>
      <c r="G152" s="85"/>
      <c r="H152" s="199" t="s">
        <v>1303</v>
      </c>
      <c r="I152" s="200"/>
      <c r="J152" s="85"/>
      <c r="K152" s="82" t="s">
        <v>1302</v>
      </c>
      <c r="L152" s="102">
        <f>IF(G152-J152&gt;300,"+5",IF(G152-J152&gt;=151,"+4",IF(G152-J152&gt;=101,"+3",IF(G152-J152&gt;=76,"+2",IF(G152-J152&gt;=51,"+1",0)))))</f>
        <v>0</v>
      </c>
      <c r="M152" s="82" t="s">
        <v>1010</v>
      </c>
      <c r="N152" s="107"/>
    </row>
    <row r="153" spans="1:14" ht="12.75">
      <c r="A153" s="106" t="s">
        <v>1009</v>
      </c>
      <c r="B153" s="434"/>
      <c r="C153" s="246"/>
      <c r="D153" s="247"/>
      <c r="E153" s="189" t="s">
        <v>1304</v>
      </c>
      <c r="F153" s="191"/>
      <c r="G153" s="85"/>
      <c r="H153" s="199" t="s">
        <v>1303</v>
      </c>
      <c r="I153" s="200"/>
      <c r="J153" s="85"/>
      <c r="K153" s="82" t="s">
        <v>1302</v>
      </c>
      <c r="L153" s="102">
        <f>IF(G153-J153&gt;300,"+5",IF(G153-J153&gt;=151,"+4",IF(G153-J153&gt;=101,"+3",IF(G153-J153&gt;=76,"+2",IF(G153-J153&gt;=51,"+1",0)))))</f>
        <v>0</v>
      </c>
      <c r="M153" s="82" t="s">
        <v>1010</v>
      </c>
      <c r="N153" s="107"/>
    </row>
    <row r="154" spans="1:14" ht="12.75">
      <c r="A154" s="106" t="s">
        <v>1009</v>
      </c>
      <c r="B154" s="434"/>
      <c r="C154" s="246"/>
      <c r="D154" s="247"/>
      <c r="E154" s="189" t="s">
        <v>1304</v>
      </c>
      <c r="F154" s="191"/>
      <c r="G154" s="85"/>
      <c r="H154" s="199" t="s">
        <v>1303</v>
      </c>
      <c r="I154" s="200"/>
      <c r="J154" s="85"/>
      <c r="K154" s="82" t="s">
        <v>1302</v>
      </c>
      <c r="L154" s="102">
        <f>IF(G154-J154&gt;300,"+5",IF(G154-J154&gt;=151,"+4",IF(G154-J154&gt;=101,"+3",IF(G154-J154&gt;=76,"+2",IF(G154-J154&gt;=51,"+1",0)))))</f>
        <v>0</v>
      </c>
      <c r="M154" s="82" t="s">
        <v>1010</v>
      </c>
      <c r="N154" s="107"/>
    </row>
    <row r="155" spans="1:14" ht="12.75">
      <c r="A155" s="201" t="s">
        <v>3</v>
      </c>
      <c r="B155" s="202"/>
      <c r="C155" s="202"/>
      <c r="D155" s="202"/>
      <c r="E155" s="202"/>
      <c r="F155" s="202"/>
      <c r="G155" s="51"/>
      <c r="H155" s="178" t="s">
        <v>0</v>
      </c>
      <c r="I155" s="164"/>
      <c r="J155" s="164"/>
      <c r="K155" s="164"/>
      <c r="L155" s="164"/>
      <c r="M155" s="116"/>
      <c r="N155" s="108"/>
    </row>
    <row r="156" spans="1:14" ht="12.75">
      <c r="A156" s="186" t="s">
        <v>1297</v>
      </c>
      <c r="B156" s="164"/>
      <c r="C156" s="164"/>
      <c r="D156" s="86"/>
      <c r="E156" s="51"/>
      <c r="F156" s="51"/>
      <c r="G156" s="51"/>
      <c r="H156" s="178" t="s">
        <v>1</v>
      </c>
      <c r="I156" s="164"/>
      <c r="J156" s="164"/>
      <c r="K156" s="164"/>
      <c r="L156" s="164"/>
      <c r="M156" s="403"/>
      <c r="N156" s="404"/>
    </row>
    <row r="157" spans="1:14" ht="12.75">
      <c r="A157" s="186" t="s">
        <v>1298</v>
      </c>
      <c r="B157" s="164"/>
      <c r="C157" s="164"/>
      <c r="D157" s="86"/>
      <c r="E157" s="51"/>
      <c r="F157" s="51"/>
      <c r="G157" s="51"/>
      <c r="H157" s="51"/>
      <c r="I157" s="51"/>
      <c r="J157" s="51"/>
      <c r="K157" s="51"/>
      <c r="L157" s="51"/>
      <c r="M157" s="51"/>
      <c r="N157" s="108"/>
    </row>
    <row r="158" spans="1:14" ht="12.75">
      <c r="A158" s="119" t="s">
        <v>1307</v>
      </c>
      <c r="B158" s="434"/>
      <c r="C158" s="246"/>
      <c r="D158" s="247"/>
      <c r="E158" s="189" t="s">
        <v>1304</v>
      </c>
      <c r="F158" s="191"/>
      <c r="G158" s="85"/>
      <c r="H158" s="199" t="s">
        <v>1303</v>
      </c>
      <c r="I158" s="200"/>
      <c r="J158" s="85"/>
      <c r="K158" s="82" t="s">
        <v>1302</v>
      </c>
      <c r="L158" s="102">
        <f>IF(G158-J158&gt;300,"+5",IF(G158-J158&gt;=151,"+4",IF(G158-J158&gt;=101,"+3",IF(G158-J158&gt;=76,"+2",IF(G158-J158&gt;=51,"+1",0)))))</f>
        <v>0</v>
      </c>
      <c r="M158" s="82" t="s">
        <v>1010</v>
      </c>
      <c r="N158" s="107"/>
    </row>
    <row r="159" spans="1:14" ht="12.75">
      <c r="A159" s="153" t="s">
        <v>4</v>
      </c>
      <c r="B159" s="187"/>
      <c r="C159" s="187"/>
      <c r="D159" s="187"/>
      <c r="E159" s="187"/>
      <c r="F159" s="188"/>
      <c r="G159" s="189" t="s">
        <v>1299</v>
      </c>
      <c r="H159" s="190"/>
      <c r="I159" s="190"/>
      <c r="J159" s="190"/>
      <c r="K159" s="190"/>
      <c r="L159" s="191"/>
      <c r="M159" s="85"/>
      <c r="N159" s="120"/>
    </row>
    <row r="160" spans="1:14" ht="12.75">
      <c r="A160" s="192" t="s">
        <v>738</v>
      </c>
      <c r="B160" s="193"/>
      <c r="C160" s="79" t="s">
        <v>739</v>
      </c>
      <c r="D160" s="86"/>
      <c r="E160" s="80" t="s">
        <v>740</v>
      </c>
      <c r="F160" s="86"/>
      <c r="G160" s="80" t="s">
        <v>741</v>
      </c>
      <c r="H160" s="86"/>
      <c r="I160" s="80" t="s">
        <v>742</v>
      </c>
      <c r="J160" s="117"/>
      <c r="K160" s="182" t="s">
        <v>748</v>
      </c>
      <c r="L160" s="161"/>
      <c r="M160" s="162"/>
      <c r="N160" s="110"/>
    </row>
    <row r="161" spans="1:14" ht="12.75">
      <c r="A161" s="194"/>
      <c r="B161" s="195"/>
      <c r="C161" s="75" t="s">
        <v>743</v>
      </c>
      <c r="D161" s="87"/>
      <c r="E161" s="81" t="s">
        <v>744</v>
      </c>
      <c r="F161" s="87"/>
      <c r="G161" s="81" t="s">
        <v>745</v>
      </c>
      <c r="H161" s="87"/>
      <c r="I161" s="81" t="s">
        <v>746</v>
      </c>
      <c r="J161" s="100"/>
      <c r="K161" s="178" t="s">
        <v>756</v>
      </c>
      <c r="L161" s="178"/>
      <c r="M161" s="178"/>
      <c r="N161" s="110"/>
    </row>
    <row r="162" spans="1:14" ht="12.75">
      <c r="A162" s="179" t="s">
        <v>998</v>
      </c>
      <c r="B162" s="161"/>
      <c r="C162" s="162"/>
      <c r="D162" s="100"/>
      <c r="E162" s="178" t="s">
        <v>999</v>
      </c>
      <c r="F162" s="164"/>
      <c r="G162" s="164"/>
      <c r="H162" s="164"/>
      <c r="I162" s="164"/>
      <c r="J162" s="118">
        <f>IF(D160&gt;0,VLOOKUP(SUM(D160+F160+H160+J160+D161+F161+H161+J161),ShardsFound,2),0)+D162</f>
        <v>0</v>
      </c>
      <c r="K162" s="182" t="s">
        <v>524</v>
      </c>
      <c r="L162" s="162"/>
      <c r="M162" s="87"/>
      <c r="N162" s="109"/>
    </row>
    <row r="163" spans="1:14" ht="12.75">
      <c r="A163" s="153" t="s">
        <v>758</v>
      </c>
      <c r="B163" s="183"/>
      <c r="C163" s="183"/>
      <c r="D163" s="183"/>
      <c r="E163" s="184"/>
      <c r="F163" s="185"/>
      <c r="G163" s="51"/>
      <c r="H163" s="51"/>
      <c r="I163" s="51"/>
      <c r="J163" s="51"/>
      <c r="K163" s="78" t="s">
        <v>752</v>
      </c>
      <c r="L163" s="78"/>
      <c r="M163" s="78"/>
      <c r="N163" s="111">
        <f>IF(M162&gt;0,VLOOKUP(M162,Shards,VLOOKUP(M159,Warriors,2)),0)</f>
        <v>0</v>
      </c>
    </row>
    <row r="164" spans="1:14" ht="12.75">
      <c r="A164" s="179" t="s">
        <v>757</v>
      </c>
      <c r="B164" s="161"/>
      <c r="C164" s="161"/>
      <c r="D164" s="161"/>
      <c r="E164" s="453"/>
      <c r="F164" s="162"/>
      <c r="G164" s="178" t="s">
        <v>1308</v>
      </c>
      <c r="H164" s="178"/>
      <c r="I164" s="178"/>
      <c r="J164" s="100"/>
      <c r="K164" s="178" t="s">
        <v>6</v>
      </c>
      <c r="L164" s="164"/>
      <c r="M164" s="164"/>
      <c r="N164" s="151">
        <f>IF(I150="Able to Loot",IF(M155="No",D156*E164,0),0)</f>
        <v>0</v>
      </c>
    </row>
    <row r="165" spans="1:14" ht="12.75">
      <c r="A165" s="153" t="s">
        <v>749</v>
      </c>
      <c r="B165" s="180"/>
      <c r="C165" s="180"/>
      <c r="D165" s="180"/>
      <c r="E165" s="180"/>
      <c r="F165" s="181"/>
      <c r="G165" s="51"/>
      <c r="H165" s="51"/>
      <c r="I165" s="51"/>
      <c r="J165" s="51"/>
      <c r="K165" s="178" t="s">
        <v>755</v>
      </c>
      <c r="L165" s="178"/>
      <c r="M165" s="178"/>
      <c r="N165" s="111">
        <f>SUM(N163+N160+N164+N161)</f>
        <v>0</v>
      </c>
    </row>
    <row r="166" spans="1:14" ht="12.75">
      <c r="A166" s="179" t="s">
        <v>751</v>
      </c>
      <c r="B166" s="161"/>
      <c r="C166" s="161"/>
      <c r="D166" s="162"/>
      <c r="E166" s="86"/>
      <c r="F166" s="178" t="s">
        <v>754</v>
      </c>
      <c r="G166" s="178"/>
      <c r="H166" s="178"/>
      <c r="I166" s="87"/>
      <c r="J166" s="51"/>
      <c r="K166" s="51"/>
      <c r="L166" s="51"/>
      <c r="M166" s="51"/>
      <c r="N166" s="108"/>
    </row>
    <row r="167" spans="1:14" ht="12.75">
      <c r="A167" s="179" t="s">
        <v>750</v>
      </c>
      <c r="B167" s="161"/>
      <c r="C167" s="161"/>
      <c r="D167" s="162"/>
      <c r="E167" s="88"/>
      <c r="F167" s="51"/>
      <c r="G167" s="51"/>
      <c r="H167" s="51"/>
      <c r="I167" s="51"/>
      <c r="J167" s="51"/>
      <c r="K167" s="51"/>
      <c r="L167" s="51"/>
      <c r="M167" s="51"/>
      <c r="N167" s="108"/>
    </row>
    <row r="168" spans="1:14" ht="12.75">
      <c r="A168" s="163" t="s">
        <v>753</v>
      </c>
      <c r="B168" s="178"/>
      <c r="C168" s="178"/>
      <c r="D168" s="164"/>
      <c r="E168" s="87"/>
      <c r="F168" s="178" t="s">
        <v>5</v>
      </c>
      <c r="G168" s="164"/>
      <c r="H168" s="164"/>
      <c r="I168" s="164"/>
      <c r="J168" s="40">
        <f>SUM('Additional Members'!F$89+'Additional Members'!F$98+'Additional Members'!F$107+'Additional Members'!F$123+'Additional Members'!F$132)</f>
        <v>0</v>
      </c>
      <c r="K168" s="178" t="s">
        <v>1300</v>
      </c>
      <c r="L168" s="159"/>
      <c r="M168" s="159"/>
      <c r="N168" s="111">
        <f>SUM(E166+E167+E168+I166)</f>
        <v>0</v>
      </c>
    </row>
    <row r="169" spans="1:14" ht="12.75">
      <c r="A169" s="414" t="s">
        <v>532</v>
      </c>
      <c r="B169" s="183"/>
      <c r="C169" s="183"/>
      <c r="D169" s="183"/>
      <c r="E169" s="183"/>
      <c r="F169" s="183"/>
      <c r="G169" s="183"/>
      <c r="H169" s="183"/>
      <c r="I169" s="183"/>
      <c r="J169" s="183"/>
      <c r="K169" s="225"/>
      <c r="L169" s="415" t="s">
        <v>1001</v>
      </c>
      <c r="M169" s="161"/>
      <c r="N169" s="413"/>
    </row>
    <row r="170" spans="1:14" ht="12.75">
      <c r="A170" s="411"/>
      <c r="B170" s="161"/>
      <c r="C170" s="161"/>
      <c r="D170" s="161"/>
      <c r="E170" s="161"/>
      <c r="F170" s="161"/>
      <c r="G170" s="161"/>
      <c r="H170" s="161"/>
      <c r="I170" s="161"/>
      <c r="J170" s="161"/>
      <c r="K170" s="162"/>
      <c r="L170" s="412"/>
      <c r="M170" s="161"/>
      <c r="N170" s="413"/>
    </row>
    <row r="171" spans="1:14" ht="12.75">
      <c r="A171" s="411"/>
      <c r="B171" s="161"/>
      <c r="C171" s="161"/>
      <c r="D171" s="161"/>
      <c r="E171" s="161"/>
      <c r="F171" s="161"/>
      <c r="G171" s="161"/>
      <c r="H171" s="161"/>
      <c r="I171" s="161"/>
      <c r="J171" s="161"/>
      <c r="K171" s="162"/>
      <c r="L171" s="412"/>
      <c r="M171" s="161"/>
      <c r="N171" s="413"/>
    </row>
    <row r="172" spans="1:14" ht="12.75">
      <c r="A172" s="411"/>
      <c r="B172" s="161"/>
      <c r="C172" s="161"/>
      <c r="D172" s="161"/>
      <c r="E172" s="161"/>
      <c r="F172" s="161"/>
      <c r="G172" s="161"/>
      <c r="H172" s="161"/>
      <c r="I172" s="161"/>
      <c r="J172" s="161"/>
      <c r="K172" s="162"/>
      <c r="L172" s="412"/>
      <c r="M172" s="161"/>
      <c r="N172" s="413"/>
    </row>
    <row r="173" spans="1:14" ht="12.75">
      <c r="A173" s="411"/>
      <c r="B173" s="161"/>
      <c r="C173" s="161"/>
      <c r="D173" s="161"/>
      <c r="E173" s="161"/>
      <c r="F173" s="161"/>
      <c r="G173" s="161"/>
      <c r="H173" s="161"/>
      <c r="I173" s="161"/>
      <c r="J173" s="161"/>
      <c r="K173" s="162"/>
      <c r="L173" s="412"/>
      <c r="M173" s="161"/>
      <c r="N173" s="413"/>
    </row>
    <row r="174" spans="1:14" ht="12.75">
      <c r="A174" s="411"/>
      <c r="B174" s="161"/>
      <c r="C174" s="161"/>
      <c r="D174" s="161"/>
      <c r="E174" s="161"/>
      <c r="F174" s="161"/>
      <c r="G174" s="161"/>
      <c r="H174" s="161"/>
      <c r="I174" s="161"/>
      <c r="J174" s="161"/>
      <c r="K174" s="162"/>
      <c r="L174" s="412"/>
      <c r="M174" s="161"/>
      <c r="N174" s="413"/>
    </row>
    <row r="175" spans="1:14" ht="12.75">
      <c r="A175" s="405"/>
      <c r="B175" s="406"/>
      <c r="C175" s="406"/>
      <c r="D175" s="406"/>
      <c r="E175" s="406"/>
      <c r="F175" s="406"/>
      <c r="G175" s="406"/>
      <c r="H175" s="406"/>
      <c r="I175" s="406"/>
      <c r="J175" s="406"/>
      <c r="K175" s="406"/>
      <c r="L175" s="407"/>
      <c r="M175" s="406"/>
      <c r="N175" s="408"/>
    </row>
    <row r="176" spans="1:14" ht="13.5" thickBot="1">
      <c r="A176" s="168" t="s">
        <v>1296</v>
      </c>
      <c r="B176" s="169"/>
      <c r="C176" s="170"/>
      <c r="D176" s="170"/>
      <c r="E176" s="170"/>
      <c r="F176" s="409"/>
      <c r="G176" s="409"/>
      <c r="H176" s="410"/>
      <c r="I176" s="410"/>
      <c r="J176" s="112"/>
      <c r="K176" s="113" t="s">
        <v>1000</v>
      </c>
      <c r="L176" s="113"/>
      <c r="M176" s="114"/>
      <c r="N176" s="115">
        <f>SUM(N165-N168)</f>
        <v>0</v>
      </c>
    </row>
    <row r="177" spans="1:14" ht="15.75" thickTop="1">
      <c r="A177" s="67" t="s">
        <v>1003</v>
      </c>
      <c r="B177" s="420">
        <f>SUBSTITUTE(Heroes!F$1,0,"")</f>
      </c>
      <c r="C177" s="421"/>
      <c r="D177" s="421"/>
      <c r="E177" s="422"/>
      <c r="F177" s="422"/>
      <c r="G177" s="422"/>
      <c r="H177" s="422"/>
      <c r="I177" s="422"/>
      <c r="J177" s="422"/>
      <c r="K177" s="422"/>
      <c r="L177" s="422"/>
      <c r="M177" s="422"/>
      <c r="N177" s="423"/>
    </row>
    <row r="178" ht="13.5" thickBot="1"/>
    <row r="179" spans="1:14" ht="12.75" customHeight="1" thickTop="1">
      <c r="A179" s="424" t="s">
        <v>992</v>
      </c>
      <c r="B179" s="425"/>
      <c r="C179" s="426"/>
      <c r="D179" s="430">
        <f>D120+2</f>
        <v>6</v>
      </c>
      <c r="E179" s="431"/>
      <c r="F179" s="215" t="s">
        <v>997</v>
      </c>
      <c r="G179" s="216"/>
      <c r="H179" s="217"/>
      <c r="I179" s="416"/>
      <c r="J179" s="417"/>
      <c r="K179" s="417"/>
      <c r="L179" s="103" t="s">
        <v>993</v>
      </c>
      <c r="M179" s="418"/>
      <c r="N179" s="419"/>
    </row>
    <row r="180" spans="1:14" ht="12.75" customHeight="1">
      <c r="A180" s="427"/>
      <c r="B180" s="428"/>
      <c r="C180" s="429"/>
      <c r="D180" s="432"/>
      <c r="E180" s="433"/>
      <c r="F180" s="178" t="s">
        <v>996</v>
      </c>
      <c r="G180" s="178"/>
      <c r="H180" s="178"/>
      <c r="I180" s="407"/>
      <c r="J180" s="407"/>
      <c r="K180" s="407"/>
      <c r="L180" s="406"/>
      <c r="M180" s="101"/>
      <c r="N180" s="104"/>
    </row>
    <row r="181" spans="1:14" ht="12.75">
      <c r="A181" s="414" t="s">
        <v>1011</v>
      </c>
      <c r="B181" s="183"/>
      <c r="C181" s="183"/>
      <c r="D181" s="183"/>
      <c r="E181" s="183"/>
      <c r="F181" s="183"/>
      <c r="G181" s="183"/>
      <c r="H181" s="183"/>
      <c r="I181" s="183"/>
      <c r="J181" s="225"/>
      <c r="K181" s="83" t="s">
        <v>1006</v>
      </c>
      <c r="L181" s="90">
        <f>SUM(+IF(N182="Win",1,0)+IF(N183="Win",1,0)+IF(N184="win",1,0)+IF(N188="win",1,0))</f>
        <v>0</v>
      </c>
      <c r="M181" s="83" t="s">
        <v>1007</v>
      </c>
      <c r="N181" s="105">
        <f>SUM(+IF(N182="Loss",1,0)+IF(N183="Loss",1,0)+IF(N184="loss",1,0)+IF(N188="Loss",1,0))</f>
        <v>0</v>
      </c>
    </row>
    <row r="182" spans="1:14" ht="12.75">
      <c r="A182" s="106" t="s">
        <v>1009</v>
      </c>
      <c r="B182" s="434"/>
      <c r="C182" s="246"/>
      <c r="D182" s="247"/>
      <c r="E182" s="189" t="s">
        <v>1304</v>
      </c>
      <c r="F182" s="191"/>
      <c r="G182" s="85"/>
      <c r="H182" s="199" t="s">
        <v>1303</v>
      </c>
      <c r="I182" s="200"/>
      <c r="J182" s="85"/>
      <c r="K182" s="82" t="s">
        <v>1302</v>
      </c>
      <c r="L182" s="102">
        <f>IF(G182-J182&gt;300,"+5",IF(G182-J182&gt;=151,"+4",IF(G182-J182&gt;=101,"+3",IF(G182-J182&gt;=76,"+2",IF(G182-J182&gt;=51,"+1",0)))))</f>
        <v>0</v>
      </c>
      <c r="M182" s="82" t="s">
        <v>1010</v>
      </c>
      <c r="N182" s="107"/>
    </row>
    <row r="183" spans="1:14" ht="12.75">
      <c r="A183" s="106" t="s">
        <v>1009</v>
      </c>
      <c r="B183" s="434"/>
      <c r="C183" s="246"/>
      <c r="D183" s="247"/>
      <c r="E183" s="189" t="s">
        <v>1304</v>
      </c>
      <c r="F183" s="191"/>
      <c r="G183" s="85"/>
      <c r="H183" s="199" t="s">
        <v>1303</v>
      </c>
      <c r="I183" s="200"/>
      <c r="J183" s="85"/>
      <c r="K183" s="82" t="s">
        <v>1302</v>
      </c>
      <c r="L183" s="102">
        <f>IF(G183-J183&gt;300,"+5",IF(G183-J183&gt;=151,"+4",IF(G183-J183&gt;=101,"+3",IF(G183-J183&gt;=76,"+2",IF(G183-J183&gt;=51,"+1",0)))))</f>
        <v>0</v>
      </c>
      <c r="M183" s="82" t="s">
        <v>1010</v>
      </c>
      <c r="N183" s="107"/>
    </row>
    <row r="184" spans="1:14" ht="12.75">
      <c r="A184" s="106" t="s">
        <v>1009</v>
      </c>
      <c r="B184" s="434"/>
      <c r="C184" s="246"/>
      <c r="D184" s="247"/>
      <c r="E184" s="189" t="s">
        <v>1304</v>
      </c>
      <c r="F184" s="191"/>
      <c r="G184" s="85"/>
      <c r="H184" s="199" t="s">
        <v>1303</v>
      </c>
      <c r="I184" s="200"/>
      <c r="J184" s="85"/>
      <c r="K184" s="82" t="s">
        <v>1302</v>
      </c>
      <c r="L184" s="102">
        <f>IF(G184-J184&gt;300,"+5",IF(G184-J184&gt;=151,"+4",IF(G184-J184&gt;=101,"+3",IF(G184-J184&gt;=76,"+2",IF(G184-J184&gt;=51,"+1",0)))))</f>
        <v>0</v>
      </c>
      <c r="M184" s="82" t="s">
        <v>1010</v>
      </c>
      <c r="N184" s="107"/>
    </row>
    <row r="185" spans="1:14" ht="12.75">
      <c r="A185" s="201" t="s">
        <v>3</v>
      </c>
      <c r="B185" s="202"/>
      <c r="C185" s="202"/>
      <c r="D185" s="202"/>
      <c r="E185" s="202"/>
      <c r="F185" s="202"/>
      <c r="G185" s="51"/>
      <c r="H185" s="178" t="s">
        <v>0</v>
      </c>
      <c r="I185" s="164"/>
      <c r="J185" s="164"/>
      <c r="K185" s="164"/>
      <c r="L185" s="164"/>
      <c r="M185" s="116"/>
      <c r="N185" s="108"/>
    </row>
    <row r="186" spans="1:14" ht="12.75">
      <c r="A186" s="186" t="s">
        <v>1297</v>
      </c>
      <c r="B186" s="164"/>
      <c r="C186" s="164"/>
      <c r="D186" s="86"/>
      <c r="E186" s="51"/>
      <c r="F186" s="51"/>
      <c r="G186" s="51"/>
      <c r="H186" s="178" t="s">
        <v>1</v>
      </c>
      <c r="I186" s="164"/>
      <c r="J186" s="164"/>
      <c r="K186" s="164"/>
      <c r="L186" s="164"/>
      <c r="M186" s="403"/>
      <c r="N186" s="404"/>
    </row>
    <row r="187" spans="1:14" ht="12.75">
      <c r="A187" s="186" t="s">
        <v>1298</v>
      </c>
      <c r="B187" s="164"/>
      <c r="C187" s="164"/>
      <c r="D187" s="86"/>
      <c r="E187" s="51"/>
      <c r="F187" s="51"/>
      <c r="G187" s="51"/>
      <c r="H187" s="51"/>
      <c r="I187" s="51"/>
      <c r="J187" s="51"/>
      <c r="K187" s="51"/>
      <c r="L187" s="51"/>
      <c r="M187" s="51"/>
      <c r="N187" s="108"/>
    </row>
    <row r="188" spans="1:14" ht="12.75">
      <c r="A188" s="119" t="s">
        <v>1307</v>
      </c>
      <c r="B188" s="434"/>
      <c r="C188" s="246"/>
      <c r="D188" s="247"/>
      <c r="E188" s="189" t="s">
        <v>1304</v>
      </c>
      <c r="F188" s="191"/>
      <c r="G188" s="85"/>
      <c r="H188" s="199" t="s">
        <v>1303</v>
      </c>
      <c r="I188" s="200"/>
      <c r="J188" s="85"/>
      <c r="K188" s="82" t="s">
        <v>1302</v>
      </c>
      <c r="L188" s="102">
        <f>IF(G188-J188&gt;300,"+5",IF(G188-J188&gt;=151,"+4",IF(G188-J188&gt;=101,"+3",IF(G188-J188&gt;=76,"+2",IF(G188-J188&gt;=51,"+1",0)))))</f>
        <v>0</v>
      </c>
      <c r="M188" s="82" t="s">
        <v>1010</v>
      </c>
      <c r="N188" s="107"/>
    </row>
    <row r="189" spans="1:14" ht="12.75">
      <c r="A189" s="153" t="s">
        <v>4</v>
      </c>
      <c r="B189" s="187"/>
      <c r="C189" s="187"/>
      <c r="D189" s="187"/>
      <c r="E189" s="187"/>
      <c r="F189" s="188"/>
      <c r="G189" s="189" t="s">
        <v>1299</v>
      </c>
      <c r="H189" s="190"/>
      <c r="I189" s="190"/>
      <c r="J189" s="190"/>
      <c r="K189" s="190"/>
      <c r="L189" s="191"/>
      <c r="M189" s="85"/>
      <c r="N189" s="120"/>
    </row>
    <row r="190" spans="1:14" ht="12.75">
      <c r="A190" s="192" t="s">
        <v>738</v>
      </c>
      <c r="B190" s="193"/>
      <c r="C190" s="79" t="s">
        <v>739</v>
      </c>
      <c r="D190" s="86"/>
      <c r="E190" s="80" t="s">
        <v>740</v>
      </c>
      <c r="F190" s="86"/>
      <c r="G190" s="80" t="s">
        <v>741</v>
      </c>
      <c r="H190" s="86"/>
      <c r="I190" s="80" t="s">
        <v>742</v>
      </c>
      <c r="J190" s="117"/>
      <c r="K190" s="182" t="s">
        <v>748</v>
      </c>
      <c r="L190" s="161"/>
      <c r="M190" s="162"/>
      <c r="N190" s="110"/>
    </row>
    <row r="191" spans="1:14" ht="12.75">
      <c r="A191" s="194"/>
      <c r="B191" s="195"/>
      <c r="C191" s="75" t="s">
        <v>743</v>
      </c>
      <c r="D191" s="87"/>
      <c r="E191" s="81" t="s">
        <v>744</v>
      </c>
      <c r="F191" s="87"/>
      <c r="G191" s="81" t="s">
        <v>745</v>
      </c>
      <c r="H191" s="87"/>
      <c r="I191" s="81" t="s">
        <v>746</v>
      </c>
      <c r="J191" s="100"/>
      <c r="K191" s="178" t="s">
        <v>756</v>
      </c>
      <c r="L191" s="178"/>
      <c r="M191" s="178"/>
      <c r="N191" s="110"/>
    </row>
    <row r="192" spans="1:14" ht="12.75">
      <c r="A192" s="179" t="s">
        <v>998</v>
      </c>
      <c r="B192" s="161"/>
      <c r="C192" s="162"/>
      <c r="D192" s="100"/>
      <c r="E192" s="178" t="s">
        <v>999</v>
      </c>
      <c r="F192" s="164"/>
      <c r="G192" s="164"/>
      <c r="H192" s="164"/>
      <c r="I192" s="164"/>
      <c r="J192" s="118">
        <f>IF(D190&gt;0,VLOOKUP(SUM(D190+F190+H190+J190+D191+F191+H191+J191),ShardsFound,2),0)+D192</f>
        <v>0</v>
      </c>
      <c r="K192" s="182" t="s">
        <v>524</v>
      </c>
      <c r="L192" s="162"/>
      <c r="M192" s="87"/>
      <c r="N192" s="109"/>
    </row>
    <row r="193" spans="1:14" ht="12.75">
      <c r="A193" s="153" t="s">
        <v>758</v>
      </c>
      <c r="B193" s="183"/>
      <c r="C193" s="183"/>
      <c r="D193" s="183"/>
      <c r="E193" s="184"/>
      <c r="F193" s="185"/>
      <c r="G193" s="51"/>
      <c r="H193" s="51"/>
      <c r="I193" s="51"/>
      <c r="J193" s="51"/>
      <c r="K193" s="78" t="s">
        <v>752</v>
      </c>
      <c r="L193" s="78"/>
      <c r="M193" s="78"/>
      <c r="N193" s="111">
        <f>IF(M192&gt;0,VLOOKUP(M192,Shards,VLOOKUP(M189,Warriors,2)),0)</f>
        <v>0</v>
      </c>
    </row>
    <row r="194" spans="1:14" ht="12.75">
      <c r="A194" s="179" t="s">
        <v>757</v>
      </c>
      <c r="B194" s="161"/>
      <c r="C194" s="161"/>
      <c r="D194" s="161"/>
      <c r="E194" s="453"/>
      <c r="F194" s="162"/>
      <c r="G194" s="178" t="s">
        <v>1308</v>
      </c>
      <c r="H194" s="178"/>
      <c r="I194" s="178"/>
      <c r="J194" s="100"/>
      <c r="K194" s="178" t="s">
        <v>6</v>
      </c>
      <c r="L194" s="164"/>
      <c r="M194" s="164"/>
      <c r="N194" s="151">
        <f>IF(I180="Able to Loot",IF(M185="No",D186*E194,0),0)</f>
        <v>0</v>
      </c>
    </row>
    <row r="195" spans="1:14" ht="12.75">
      <c r="A195" s="153" t="s">
        <v>749</v>
      </c>
      <c r="B195" s="180"/>
      <c r="C195" s="180"/>
      <c r="D195" s="180"/>
      <c r="E195" s="180"/>
      <c r="F195" s="181"/>
      <c r="G195" s="51"/>
      <c r="H195" s="51"/>
      <c r="I195" s="51"/>
      <c r="J195" s="51"/>
      <c r="K195" s="178" t="s">
        <v>755</v>
      </c>
      <c r="L195" s="178"/>
      <c r="M195" s="178"/>
      <c r="N195" s="111">
        <f>SUM(N193+N190+N194+N191)</f>
        <v>0</v>
      </c>
    </row>
    <row r="196" spans="1:14" ht="12.75">
      <c r="A196" s="179" t="s">
        <v>751</v>
      </c>
      <c r="B196" s="161"/>
      <c r="C196" s="161"/>
      <c r="D196" s="162"/>
      <c r="E196" s="86"/>
      <c r="F196" s="178" t="s">
        <v>754</v>
      </c>
      <c r="G196" s="178"/>
      <c r="H196" s="178"/>
      <c r="I196" s="87"/>
      <c r="J196" s="51"/>
      <c r="K196" s="51"/>
      <c r="L196" s="51"/>
      <c r="M196" s="51"/>
      <c r="N196" s="108"/>
    </row>
    <row r="197" spans="1:14" ht="12.75">
      <c r="A197" s="179" t="s">
        <v>750</v>
      </c>
      <c r="B197" s="161"/>
      <c r="C197" s="161"/>
      <c r="D197" s="162"/>
      <c r="E197" s="88"/>
      <c r="F197" s="51"/>
      <c r="G197" s="51"/>
      <c r="H197" s="51"/>
      <c r="I197" s="51"/>
      <c r="J197" s="51"/>
      <c r="K197" s="51"/>
      <c r="L197" s="51"/>
      <c r="M197" s="51"/>
      <c r="N197" s="108"/>
    </row>
    <row r="198" spans="1:14" ht="12.75">
      <c r="A198" s="163" t="s">
        <v>753</v>
      </c>
      <c r="B198" s="178"/>
      <c r="C198" s="178"/>
      <c r="D198" s="164"/>
      <c r="E198" s="87"/>
      <c r="F198" s="178" t="s">
        <v>5</v>
      </c>
      <c r="G198" s="164"/>
      <c r="H198" s="164"/>
      <c r="I198" s="164"/>
      <c r="J198" s="40">
        <f>SUM('Additional Members'!F$89+'Additional Members'!F$98+'Additional Members'!F$107+'Additional Members'!F$123+'Additional Members'!F$132)</f>
        <v>0</v>
      </c>
      <c r="K198" s="178" t="s">
        <v>1300</v>
      </c>
      <c r="L198" s="159"/>
      <c r="M198" s="159"/>
      <c r="N198" s="111">
        <f>SUM(E196+E197+E198+I196)</f>
        <v>0</v>
      </c>
    </row>
    <row r="199" spans="1:14" ht="12.75">
      <c r="A199" s="414" t="s">
        <v>532</v>
      </c>
      <c r="B199" s="183"/>
      <c r="C199" s="183"/>
      <c r="D199" s="183"/>
      <c r="E199" s="183"/>
      <c r="F199" s="183"/>
      <c r="G199" s="183"/>
      <c r="H199" s="183"/>
      <c r="I199" s="183"/>
      <c r="J199" s="183"/>
      <c r="K199" s="225"/>
      <c r="L199" s="415" t="s">
        <v>1001</v>
      </c>
      <c r="M199" s="161"/>
      <c r="N199" s="413"/>
    </row>
    <row r="200" spans="1:14" ht="12.75">
      <c r="A200" s="411"/>
      <c r="B200" s="161"/>
      <c r="C200" s="161"/>
      <c r="D200" s="161"/>
      <c r="E200" s="161"/>
      <c r="F200" s="161"/>
      <c r="G200" s="161"/>
      <c r="H200" s="161"/>
      <c r="I200" s="161"/>
      <c r="J200" s="161"/>
      <c r="K200" s="162"/>
      <c r="L200" s="412"/>
      <c r="M200" s="161"/>
      <c r="N200" s="413"/>
    </row>
    <row r="201" spans="1:14" ht="12.75">
      <c r="A201" s="411"/>
      <c r="B201" s="161"/>
      <c r="C201" s="161"/>
      <c r="D201" s="161"/>
      <c r="E201" s="161"/>
      <c r="F201" s="161"/>
      <c r="G201" s="161"/>
      <c r="H201" s="161"/>
      <c r="I201" s="161"/>
      <c r="J201" s="161"/>
      <c r="K201" s="162"/>
      <c r="L201" s="412"/>
      <c r="M201" s="161"/>
      <c r="N201" s="413"/>
    </row>
    <row r="202" spans="1:14" ht="12.75" customHeight="1">
      <c r="A202" s="411"/>
      <c r="B202" s="161"/>
      <c r="C202" s="161"/>
      <c r="D202" s="161"/>
      <c r="E202" s="161"/>
      <c r="F202" s="161"/>
      <c r="G202" s="161"/>
      <c r="H202" s="161"/>
      <c r="I202" s="161"/>
      <c r="J202" s="161"/>
      <c r="K202" s="162"/>
      <c r="L202" s="412"/>
      <c r="M202" s="161"/>
      <c r="N202" s="413"/>
    </row>
    <row r="203" spans="1:14" ht="12.75">
      <c r="A203" s="411"/>
      <c r="B203" s="161"/>
      <c r="C203" s="161"/>
      <c r="D203" s="161"/>
      <c r="E203" s="161"/>
      <c r="F203" s="161"/>
      <c r="G203" s="161"/>
      <c r="H203" s="161"/>
      <c r="I203" s="161"/>
      <c r="J203" s="161"/>
      <c r="K203" s="162"/>
      <c r="L203" s="412"/>
      <c r="M203" s="161"/>
      <c r="N203" s="413"/>
    </row>
    <row r="204" spans="1:14" ht="12.75">
      <c r="A204" s="411"/>
      <c r="B204" s="161"/>
      <c r="C204" s="161"/>
      <c r="D204" s="161"/>
      <c r="E204" s="161"/>
      <c r="F204" s="161"/>
      <c r="G204" s="161"/>
      <c r="H204" s="161"/>
      <c r="I204" s="161"/>
      <c r="J204" s="161"/>
      <c r="K204" s="162"/>
      <c r="L204" s="412"/>
      <c r="M204" s="161"/>
      <c r="N204" s="413"/>
    </row>
    <row r="205" spans="1:14" ht="12.75">
      <c r="A205" s="405"/>
      <c r="B205" s="406"/>
      <c r="C205" s="406"/>
      <c r="D205" s="406"/>
      <c r="E205" s="406"/>
      <c r="F205" s="406"/>
      <c r="G205" s="406"/>
      <c r="H205" s="406"/>
      <c r="I205" s="406"/>
      <c r="J205" s="406"/>
      <c r="K205" s="406"/>
      <c r="L205" s="407"/>
      <c r="M205" s="406"/>
      <c r="N205" s="408"/>
    </row>
    <row r="206" spans="1:14" ht="13.5" thickBot="1">
      <c r="A206" s="168" t="s">
        <v>1296</v>
      </c>
      <c r="B206" s="169"/>
      <c r="C206" s="170"/>
      <c r="D206" s="170"/>
      <c r="E206" s="170"/>
      <c r="F206" s="409"/>
      <c r="G206" s="409"/>
      <c r="H206" s="410"/>
      <c r="I206" s="410"/>
      <c r="J206" s="112"/>
      <c r="K206" s="113" t="s">
        <v>1000</v>
      </c>
      <c r="L206" s="113"/>
      <c r="M206" s="114"/>
      <c r="N206" s="115">
        <f>SUM(N195-N198)</f>
        <v>0</v>
      </c>
    </row>
    <row r="207" ht="12.75" customHeight="1" thickBot="1" thickTop="1"/>
    <row r="208" spans="1:14" ht="12.75" customHeight="1" thickTop="1">
      <c r="A208" s="424" t="s">
        <v>992</v>
      </c>
      <c r="B208" s="425"/>
      <c r="C208" s="426"/>
      <c r="D208" s="430">
        <f>D179+1</f>
        <v>7</v>
      </c>
      <c r="E208" s="431"/>
      <c r="F208" s="215" t="s">
        <v>997</v>
      </c>
      <c r="G208" s="216"/>
      <c r="H208" s="217"/>
      <c r="I208" s="416"/>
      <c r="J208" s="417"/>
      <c r="K208" s="417"/>
      <c r="L208" s="103" t="s">
        <v>993</v>
      </c>
      <c r="M208" s="418"/>
      <c r="N208" s="419"/>
    </row>
    <row r="209" spans="1:14" ht="12.75" customHeight="1">
      <c r="A209" s="427"/>
      <c r="B209" s="428"/>
      <c r="C209" s="429"/>
      <c r="D209" s="432"/>
      <c r="E209" s="433"/>
      <c r="F209" s="178" t="s">
        <v>996</v>
      </c>
      <c r="G209" s="178"/>
      <c r="H209" s="178"/>
      <c r="I209" s="407"/>
      <c r="J209" s="407"/>
      <c r="K209" s="407"/>
      <c r="L209" s="406"/>
      <c r="M209" s="101"/>
      <c r="N209" s="104"/>
    </row>
    <row r="210" spans="1:14" ht="12.75">
      <c r="A210" s="414" t="s">
        <v>1011</v>
      </c>
      <c r="B210" s="183"/>
      <c r="C210" s="183"/>
      <c r="D210" s="183"/>
      <c r="E210" s="183"/>
      <c r="F210" s="183"/>
      <c r="G210" s="183"/>
      <c r="H210" s="183"/>
      <c r="I210" s="183"/>
      <c r="J210" s="225"/>
      <c r="K210" s="83" t="s">
        <v>1006</v>
      </c>
      <c r="L210" s="90">
        <f>SUM(+IF(N211="Win",1,0)+IF(N212="Win",1,0)+IF(N213="win",1,0)+IF(N217="win",1,0))</f>
        <v>0</v>
      </c>
      <c r="M210" s="83" t="s">
        <v>1007</v>
      </c>
      <c r="N210" s="105">
        <f>SUM(+IF(N211="Loss",1,0)+IF(N212="Loss",1,0)+IF(N213="loss",1,0)+IF(N217="Loss",1,0))</f>
        <v>0</v>
      </c>
    </row>
    <row r="211" spans="1:14" ht="12.75">
      <c r="A211" s="106" t="s">
        <v>1009</v>
      </c>
      <c r="B211" s="434"/>
      <c r="C211" s="246"/>
      <c r="D211" s="247"/>
      <c r="E211" s="189" t="s">
        <v>1304</v>
      </c>
      <c r="F211" s="191"/>
      <c r="G211" s="85"/>
      <c r="H211" s="199" t="s">
        <v>1303</v>
      </c>
      <c r="I211" s="200"/>
      <c r="J211" s="85"/>
      <c r="K211" s="82" t="s">
        <v>1302</v>
      </c>
      <c r="L211" s="102">
        <f>IF(G211-J211&gt;300,"+5",IF(G211-J211&gt;=151,"+4",IF(G211-J211&gt;=101,"+3",IF(G211-J211&gt;=76,"+2",IF(G211-J211&gt;=51,"+1",0)))))</f>
        <v>0</v>
      </c>
      <c r="M211" s="82" t="s">
        <v>1010</v>
      </c>
      <c r="N211" s="107"/>
    </row>
    <row r="212" spans="1:14" ht="12.75">
      <c r="A212" s="106" t="s">
        <v>1009</v>
      </c>
      <c r="B212" s="434"/>
      <c r="C212" s="246"/>
      <c r="D212" s="247"/>
      <c r="E212" s="189" t="s">
        <v>1304</v>
      </c>
      <c r="F212" s="191"/>
      <c r="G212" s="85"/>
      <c r="H212" s="199" t="s">
        <v>1303</v>
      </c>
      <c r="I212" s="200"/>
      <c r="J212" s="85"/>
      <c r="K212" s="82" t="s">
        <v>1302</v>
      </c>
      <c r="L212" s="102">
        <f>IF(G212-J212&gt;300,"+5",IF(G212-J212&gt;=151,"+4",IF(G212-J212&gt;=101,"+3",IF(G212-J212&gt;=76,"+2",IF(G212-J212&gt;=51,"+1",0)))))</f>
        <v>0</v>
      </c>
      <c r="M212" s="82" t="s">
        <v>1010</v>
      </c>
      <c r="N212" s="107"/>
    </row>
    <row r="213" spans="1:14" ht="12.75">
      <c r="A213" s="106" t="s">
        <v>1009</v>
      </c>
      <c r="B213" s="434"/>
      <c r="C213" s="246"/>
      <c r="D213" s="247"/>
      <c r="E213" s="189" t="s">
        <v>1304</v>
      </c>
      <c r="F213" s="191"/>
      <c r="G213" s="85"/>
      <c r="H213" s="199" t="s">
        <v>1303</v>
      </c>
      <c r="I213" s="200"/>
      <c r="J213" s="85"/>
      <c r="K213" s="82" t="s">
        <v>1302</v>
      </c>
      <c r="L213" s="102">
        <f>IF(G213-J213&gt;300,"+5",IF(G213-J213&gt;=151,"+4",IF(G213-J213&gt;=101,"+3",IF(G213-J213&gt;=76,"+2",IF(G213-J213&gt;=51,"+1",0)))))</f>
        <v>0</v>
      </c>
      <c r="M213" s="82" t="s">
        <v>1010</v>
      </c>
      <c r="N213" s="107"/>
    </row>
    <row r="214" spans="1:14" ht="12.75">
      <c r="A214" s="201" t="s">
        <v>3</v>
      </c>
      <c r="B214" s="202"/>
      <c r="C214" s="202"/>
      <c r="D214" s="202"/>
      <c r="E214" s="202"/>
      <c r="F214" s="202"/>
      <c r="G214" s="51"/>
      <c r="H214" s="178" t="s">
        <v>0</v>
      </c>
      <c r="I214" s="164"/>
      <c r="J214" s="164"/>
      <c r="K214" s="164"/>
      <c r="L214" s="164"/>
      <c r="M214" s="116"/>
      <c r="N214" s="108"/>
    </row>
    <row r="215" spans="1:14" ht="12.75">
      <c r="A215" s="186" t="s">
        <v>1297</v>
      </c>
      <c r="B215" s="164"/>
      <c r="C215" s="164"/>
      <c r="D215" s="86"/>
      <c r="E215" s="51"/>
      <c r="F215" s="51"/>
      <c r="G215" s="51"/>
      <c r="H215" s="178" t="s">
        <v>1</v>
      </c>
      <c r="I215" s="164"/>
      <c r="J215" s="164"/>
      <c r="K215" s="164"/>
      <c r="L215" s="164"/>
      <c r="M215" s="403"/>
      <c r="N215" s="404"/>
    </row>
    <row r="216" spans="1:14" ht="12.75">
      <c r="A216" s="186" t="s">
        <v>1298</v>
      </c>
      <c r="B216" s="164"/>
      <c r="C216" s="164"/>
      <c r="D216" s="86"/>
      <c r="E216" s="51"/>
      <c r="F216" s="51"/>
      <c r="G216" s="51"/>
      <c r="H216" s="51"/>
      <c r="I216" s="51"/>
      <c r="J216" s="51"/>
      <c r="K216" s="51"/>
      <c r="L216" s="51"/>
      <c r="M216" s="51"/>
      <c r="N216" s="108"/>
    </row>
    <row r="217" spans="1:14" ht="12.75">
      <c r="A217" s="119" t="s">
        <v>1307</v>
      </c>
      <c r="B217" s="434"/>
      <c r="C217" s="246"/>
      <c r="D217" s="247"/>
      <c r="E217" s="189" t="s">
        <v>1304</v>
      </c>
      <c r="F217" s="191"/>
      <c r="G217" s="85"/>
      <c r="H217" s="199" t="s">
        <v>1303</v>
      </c>
      <c r="I217" s="200"/>
      <c r="J217" s="85"/>
      <c r="K217" s="82" t="s">
        <v>1302</v>
      </c>
      <c r="L217" s="102">
        <f>IF(G217-J217&gt;300,"+5",IF(G217-J217&gt;=151,"+4",IF(G217-J217&gt;=101,"+3",IF(G217-J217&gt;=76,"+2",IF(G217-J217&gt;=51,"+1",0)))))</f>
        <v>0</v>
      </c>
      <c r="M217" s="82" t="s">
        <v>1010</v>
      </c>
      <c r="N217" s="107"/>
    </row>
    <row r="218" spans="1:14" ht="12.75">
      <c r="A218" s="153" t="s">
        <v>4</v>
      </c>
      <c r="B218" s="187"/>
      <c r="C218" s="187"/>
      <c r="D218" s="187"/>
      <c r="E218" s="187"/>
      <c r="F218" s="188"/>
      <c r="G218" s="189" t="s">
        <v>1299</v>
      </c>
      <c r="H218" s="190"/>
      <c r="I218" s="190"/>
      <c r="J218" s="190"/>
      <c r="K218" s="190"/>
      <c r="L218" s="191"/>
      <c r="M218" s="85"/>
      <c r="N218" s="120"/>
    </row>
    <row r="219" spans="1:14" ht="12.75">
      <c r="A219" s="192" t="s">
        <v>738</v>
      </c>
      <c r="B219" s="193"/>
      <c r="C219" s="79" t="s">
        <v>739</v>
      </c>
      <c r="D219" s="86"/>
      <c r="E219" s="80" t="s">
        <v>740</v>
      </c>
      <c r="F219" s="86"/>
      <c r="G219" s="80" t="s">
        <v>741</v>
      </c>
      <c r="H219" s="86"/>
      <c r="I219" s="80" t="s">
        <v>742</v>
      </c>
      <c r="J219" s="117"/>
      <c r="K219" s="182" t="s">
        <v>748</v>
      </c>
      <c r="L219" s="161"/>
      <c r="M219" s="162"/>
      <c r="N219" s="110"/>
    </row>
    <row r="220" spans="1:14" ht="12.75">
      <c r="A220" s="194"/>
      <c r="B220" s="195"/>
      <c r="C220" s="75" t="s">
        <v>743</v>
      </c>
      <c r="D220" s="87"/>
      <c r="E220" s="81" t="s">
        <v>744</v>
      </c>
      <c r="F220" s="87"/>
      <c r="G220" s="81" t="s">
        <v>745</v>
      </c>
      <c r="H220" s="87"/>
      <c r="I220" s="81" t="s">
        <v>746</v>
      </c>
      <c r="J220" s="100"/>
      <c r="K220" s="178" t="s">
        <v>756</v>
      </c>
      <c r="L220" s="178"/>
      <c r="M220" s="178"/>
      <c r="N220" s="110"/>
    </row>
    <row r="221" spans="1:14" ht="12.75">
      <c r="A221" s="179" t="s">
        <v>998</v>
      </c>
      <c r="B221" s="161"/>
      <c r="C221" s="162"/>
      <c r="D221" s="100"/>
      <c r="E221" s="178" t="s">
        <v>999</v>
      </c>
      <c r="F221" s="164"/>
      <c r="G221" s="164"/>
      <c r="H221" s="164"/>
      <c r="I221" s="164"/>
      <c r="J221" s="118">
        <f>IF(D219&gt;0,VLOOKUP(SUM(D219+F219+H219+J219+D220+F220+H220+J220),ShardsFound,2),0)+D221</f>
        <v>0</v>
      </c>
      <c r="K221" s="182" t="s">
        <v>524</v>
      </c>
      <c r="L221" s="162"/>
      <c r="M221" s="87"/>
      <c r="N221" s="109"/>
    </row>
    <row r="222" spans="1:14" ht="12.75">
      <c r="A222" s="153" t="s">
        <v>758</v>
      </c>
      <c r="B222" s="183"/>
      <c r="C222" s="183"/>
      <c r="D222" s="183"/>
      <c r="E222" s="184"/>
      <c r="F222" s="185"/>
      <c r="G222" s="51"/>
      <c r="H222" s="51"/>
      <c r="I222" s="51"/>
      <c r="J222" s="51"/>
      <c r="K222" s="78" t="s">
        <v>752</v>
      </c>
      <c r="L222" s="78"/>
      <c r="M222" s="78"/>
      <c r="N222" s="111">
        <f>IF(M221&gt;0,VLOOKUP(M221,Shards,VLOOKUP(M218,Warriors,2)),0)</f>
        <v>0</v>
      </c>
    </row>
    <row r="223" spans="1:14" ht="12.75">
      <c r="A223" s="179" t="s">
        <v>757</v>
      </c>
      <c r="B223" s="161"/>
      <c r="C223" s="161"/>
      <c r="D223" s="161"/>
      <c r="E223" s="453"/>
      <c r="F223" s="162"/>
      <c r="G223" s="178" t="s">
        <v>1308</v>
      </c>
      <c r="H223" s="178"/>
      <c r="I223" s="178"/>
      <c r="J223" s="100"/>
      <c r="K223" s="178" t="s">
        <v>6</v>
      </c>
      <c r="L223" s="164"/>
      <c r="M223" s="164"/>
      <c r="N223" s="151">
        <f>IF(I209="Able to Loot",IF(M214="No",D215*E223,0),0)</f>
        <v>0</v>
      </c>
    </row>
    <row r="224" spans="1:14" ht="12.75">
      <c r="A224" s="153" t="s">
        <v>749</v>
      </c>
      <c r="B224" s="180"/>
      <c r="C224" s="180"/>
      <c r="D224" s="180"/>
      <c r="E224" s="180"/>
      <c r="F224" s="181"/>
      <c r="G224" s="51"/>
      <c r="H224" s="51"/>
      <c r="I224" s="51"/>
      <c r="J224" s="51"/>
      <c r="K224" s="178" t="s">
        <v>755</v>
      </c>
      <c r="L224" s="178"/>
      <c r="M224" s="178"/>
      <c r="N224" s="111">
        <f>SUM(N222+N219+N223+N220)</f>
        <v>0</v>
      </c>
    </row>
    <row r="225" spans="1:14" ht="12.75">
      <c r="A225" s="179" t="s">
        <v>751</v>
      </c>
      <c r="B225" s="161"/>
      <c r="C225" s="161"/>
      <c r="D225" s="162"/>
      <c r="E225" s="86"/>
      <c r="F225" s="178" t="s">
        <v>754</v>
      </c>
      <c r="G225" s="178"/>
      <c r="H225" s="178"/>
      <c r="I225" s="87"/>
      <c r="J225" s="51"/>
      <c r="K225" s="51"/>
      <c r="L225" s="51"/>
      <c r="M225" s="51"/>
      <c r="N225" s="108"/>
    </row>
    <row r="226" spans="1:14" ht="12.75">
      <c r="A226" s="179" t="s">
        <v>750</v>
      </c>
      <c r="B226" s="161"/>
      <c r="C226" s="161"/>
      <c r="D226" s="162"/>
      <c r="E226" s="88"/>
      <c r="F226" s="51"/>
      <c r="G226" s="51"/>
      <c r="H226" s="51"/>
      <c r="I226" s="51"/>
      <c r="J226" s="51"/>
      <c r="K226" s="51"/>
      <c r="L226" s="51"/>
      <c r="M226" s="51"/>
      <c r="N226" s="108"/>
    </row>
    <row r="227" spans="1:14" ht="12.75">
      <c r="A227" s="163" t="s">
        <v>753</v>
      </c>
      <c r="B227" s="178"/>
      <c r="C227" s="178"/>
      <c r="D227" s="164"/>
      <c r="E227" s="87"/>
      <c r="F227" s="178" t="s">
        <v>5</v>
      </c>
      <c r="G227" s="164"/>
      <c r="H227" s="164"/>
      <c r="I227" s="164"/>
      <c r="J227" s="40">
        <f>SUM('Additional Members'!F$89+'Additional Members'!F$98+'Additional Members'!F$107+'Additional Members'!F$123+'Additional Members'!F$132)</f>
        <v>0</v>
      </c>
      <c r="K227" s="178" t="s">
        <v>1300</v>
      </c>
      <c r="L227" s="159"/>
      <c r="M227" s="159"/>
      <c r="N227" s="111">
        <f>SUM(E225+E226+E227+I225)</f>
        <v>0</v>
      </c>
    </row>
    <row r="228" spans="1:14" ht="12.75">
      <c r="A228" s="414" t="s">
        <v>532</v>
      </c>
      <c r="B228" s="183"/>
      <c r="C228" s="183"/>
      <c r="D228" s="183"/>
      <c r="E228" s="183"/>
      <c r="F228" s="183"/>
      <c r="G228" s="183"/>
      <c r="H228" s="183"/>
      <c r="I228" s="183"/>
      <c r="J228" s="183"/>
      <c r="K228" s="225"/>
      <c r="L228" s="415" t="s">
        <v>1001</v>
      </c>
      <c r="M228" s="161"/>
      <c r="N228" s="413"/>
    </row>
    <row r="229" spans="1:14" ht="12.75">
      <c r="A229" s="411"/>
      <c r="B229" s="161"/>
      <c r="C229" s="161"/>
      <c r="D229" s="161"/>
      <c r="E229" s="161"/>
      <c r="F229" s="161"/>
      <c r="G229" s="161"/>
      <c r="H229" s="161"/>
      <c r="I229" s="161"/>
      <c r="J229" s="161"/>
      <c r="K229" s="162"/>
      <c r="L229" s="412"/>
      <c r="M229" s="161"/>
      <c r="N229" s="413"/>
    </row>
    <row r="230" spans="1:14" ht="12.75">
      <c r="A230" s="411"/>
      <c r="B230" s="161"/>
      <c r="C230" s="161"/>
      <c r="D230" s="161"/>
      <c r="E230" s="161"/>
      <c r="F230" s="161"/>
      <c r="G230" s="161"/>
      <c r="H230" s="161"/>
      <c r="I230" s="161"/>
      <c r="J230" s="161"/>
      <c r="K230" s="162"/>
      <c r="L230" s="412"/>
      <c r="M230" s="161"/>
      <c r="N230" s="413"/>
    </row>
    <row r="231" spans="1:14" ht="12.75">
      <c r="A231" s="411"/>
      <c r="B231" s="161"/>
      <c r="C231" s="161"/>
      <c r="D231" s="161"/>
      <c r="E231" s="161"/>
      <c r="F231" s="161"/>
      <c r="G231" s="161"/>
      <c r="H231" s="161"/>
      <c r="I231" s="161"/>
      <c r="J231" s="161"/>
      <c r="K231" s="162"/>
      <c r="L231" s="412"/>
      <c r="M231" s="161"/>
      <c r="N231" s="413"/>
    </row>
    <row r="232" spans="1:14" ht="12.75">
      <c r="A232" s="411"/>
      <c r="B232" s="161"/>
      <c r="C232" s="161"/>
      <c r="D232" s="161"/>
      <c r="E232" s="161"/>
      <c r="F232" s="161"/>
      <c r="G232" s="161"/>
      <c r="H232" s="161"/>
      <c r="I232" s="161"/>
      <c r="J232" s="161"/>
      <c r="K232" s="162"/>
      <c r="L232" s="412"/>
      <c r="M232" s="161"/>
      <c r="N232" s="413"/>
    </row>
    <row r="233" spans="1:14" ht="12.75">
      <c r="A233" s="411"/>
      <c r="B233" s="161"/>
      <c r="C233" s="161"/>
      <c r="D233" s="161"/>
      <c r="E233" s="161"/>
      <c r="F233" s="161"/>
      <c r="G233" s="161"/>
      <c r="H233" s="161"/>
      <c r="I233" s="161"/>
      <c r="J233" s="161"/>
      <c r="K233" s="162"/>
      <c r="L233" s="412"/>
      <c r="M233" s="161"/>
      <c r="N233" s="413"/>
    </row>
    <row r="234" spans="1:14" ht="12.75">
      <c r="A234" s="405"/>
      <c r="B234" s="406"/>
      <c r="C234" s="406"/>
      <c r="D234" s="406"/>
      <c r="E234" s="406"/>
      <c r="F234" s="406"/>
      <c r="G234" s="406"/>
      <c r="H234" s="406"/>
      <c r="I234" s="406"/>
      <c r="J234" s="406"/>
      <c r="K234" s="406"/>
      <c r="L234" s="407"/>
      <c r="M234" s="406"/>
      <c r="N234" s="408"/>
    </row>
    <row r="235" spans="1:14" ht="13.5" thickBot="1">
      <c r="A235" s="168" t="s">
        <v>1296</v>
      </c>
      <c r="B235" s="169"/>
      <c r="C235" s="170"/>
      <c r="D235" s="170"/>
      <c r="E235" s="170"/>
      <c r="F235" s="409"/>
      <c r="G235" s="409"/>
      <c r="H235" s="410"/>
      <c r="I235" s="410"/>
      <c r="J235" s="112"/>
      <c r="K235" s="113" t="s">
        <v>1000</v>
      </c>
      <c r="L235" s="113"/>
      <c r="M235" s="114"/>
      <c r="N235" s="115">
        <f>SUM(N224-N227)</f>
        <v>0</v>
      </c>
    </row>
    <row r="236" spans="1:14" ht="15.75" thickTop="1">
      <c r="A236" s="67" t="s">
        <v>1003</v>
      </c>
      <c r="B236" s="420">
        <f>SUBSTITUTE(Heroes!F$1,0,"")</f>
      </c>
      <c r="C236" s="421"/>
      <c r="D236" s="421"/>
      <c r="E236" s="422"/>
      <c r="F236" s="422"/>
      <c r="G236" s="422"/>
      <c r="H236" s="422"/>
      <c r="I236" s="422"/>
      <c r="J236" s="422"/>
      <c r="K236" s="422"/>
      <c r="L236" s="422"/>
      <c r="M236" s="422"/>
      <c r="N236" s="423"/>
    </row>
    <row r="237" ht="13.5" thickBot="1"/>
    <row r="238" spans="1:14" ht="12.75" customHeight="1" thickTop="1">
      <c r="A238" s="424" t="s">
        <v>992</v>
      </c>
      <c r="B238" s="425"/>
      <c r="C238" s="426"/>
      <c r="D238" s="430">
        <f>D179+2</f>
        <v>8</v>
      </c>
      <c r="E238" s="431"/>
      <c r="F238" s="215" t="s">
        <v>997</v>
      </c>
      <c r="G238" s="216"/>
      <c r="H238" s="217"/>
      <c r="I238" s="416"/>
      <c r="J238" s="417"/>
      <c r="K238" s="417"/>
      <c r="L238" s="103" t="s">
        <v>993</v>
      </c>
      <c r="M238" s="418"/>
      <c r="N238" s="419"/>
    </row>
    <row r="239" spans="1:14" ht="12.75" customHeight="1">
      <c r="A239" s="427"/>
      <c r="B239" s="428"/>
      <c r="C239" s="429"/>
      <c r="D239" s="432"/>
      <c r="E239" s="433"/>
      <c r="F239" s="178" t="s">
        <v>996</v>
      </c>
      <c r="G239" s="178"/>
      <c r="H239" s="178"/>
      <c r="I239" s="407"/>
      <c r="J239" s="407"/>
      <c r="K239" s="407"/>
      <c r="L239" s="406"/>
      <c r="M239" s="101"/>
      <c r="N239" s="104"/>
    </row>
    <row r="240" spans="1:14" ht="12.75">
      <c r="A240" s="414" t="s">
        <v>1011</v>
      </c>
      <c r="B240" s="183"/>
      <c r="C240" s="183"/>
      <c r="D240" s="183"/>
      <c r="E240" s="183"/>
      <c r="F240" s="183"/>
      <c r="G240" s="183"/>
      <c r="H240" s="183"/>
      <c r="I240" s="183"/>
      <c r="J240" s="225"/>
      <c r="K240" s="83" t="s">
        <v>1006</v>
      </c>
      <c r="L240" s="90">
        <f>SUM(+IF(N241="Win",1,0)+IF(N242="Win",1,0)+IF(N243="win",1,0)+IF(N247="win",1,0))</f>
        <v>0</v>
      </c>
      <c r="M240" s="83" t="s">
        <v>1007</v>
      </c>
      <c r="N240" s="105">
        <f>SUM(+IF(N241="Loss",1,0)+IF(N242="Loss",1,0)+IF(N243="loss",1,0)+IF(N247="Loss",1,0))</f>
        <v>0</v>
      </c>
    </row>
    <row r="241" spans="1:14" ht="12.75">
      <c r="A241" s="106" t="s">
        <v>1009</v>
      </c>
      <c r="B241" s="434"/>
      <c r="C241" s="246"/>
      <c r="D241" s="247"/>
      <c r="E241" s="189" t="s">
        <v>1304</v>
      </c>
      <c r="F241" s="191"/>
      <c r="G241" s="85"/>
      <c r="H241" s="199" t="s">
        <v>1303</v>
      </c>
      <c r="I241" s="200"/>
      <c r="J241" s="85"/>
      <c r="K241" s="82" t="s">
        <v>1302</v>
      </c>
      <c r="L241" s="102">
        <f>IF(G241-J241&gt;300,"+5",IF(G241-J241&gt;=151,"+4",IF(G241-J241&gt;=101,"+3",IF(G241-J241&gt;=76,"+2",IF(G241-J241&gt;=51,"+1",0)))))</f>
        <v>0</v>
      </c>
      <c r="M241" s="82" t="s">
        <v>1010</v>
      </c>
      <c r="N241" s="107"/>
    </row>
    <row r="242" spans="1:14" ht="12.75">
      <c r="A242" s="106" t="s">
        <v>1009</v>
      </c>
      <c r="B242" s="434"/>
      <c r="C242" s="246"/>
      <c r="D242" s="247"/>
      <c r="E242" s="189" t="s">
        <v>1304</v>
      </c>
      <c r="F242" s="191"/>
      <c r="G242" s="85"/>
      <c r="H242" s="199" t="s">
        <v>1303</v>
      </c>
      <c r="I242" s="200"/>
      <c r="J242" s="85"/>
      <c r="K242" s="82" t="s">
        <v>1302</v>
      </c>
      <c r="L242" s="102">
        <f>IF(G242-J242&gt;300,"+5",IF(G242-J242&gt;=151,"+4",IF(G242-J242&gt;=101,"+3",IF(G242-J242&gt;=76,"+2",IF(G242-J242&gt;=51,"+1",0)))))</f>
        <v>0</v>
      </c>
      <c r="M242" s="82" t="s">
        <v>1010</v>
      </c>
      <c r="N242" s="107"/>
    </row>
    <row r="243" spans="1:14" ht="12.75">
      <c r="A243" s="106" t="s">
        <v>1009</v>
      </c>
      <c r="B243" s="434"/>
      <c r="C243" s="246"/>
      <c r="D243" s="247"/>
      <c r="E243" s="189" t="s">
        <v>1304</v>
      </c>
      <c r="F243" s="191"/>
      <c r="G243" s="85"/>
      <c r="H243" s="199" t="s">
        <v>1303</v>
      </c>
      <c r="I243" s="200"/>
      <c r="J243" s="85"/>
      <c r="K243" s="82" t="s">
        <v>1302</v>
      </c>
      <c r="L243" s="102">
        <f>IF(G243-J243&gt;300,"+5",IF(G243-J243&gt;=151,"+4",IF(G243-J243&gt;=101,"+3",IF(G243-J243&gt;=76,"+2",IF(G243-J243&gt;=51,"+1",0)))))</f>
        <v>0</v>
      </c>
      <c r="M243" s="82" t="s">
        <v>1010</v>
      </c>
      <c r="N243" s="107"/>
    </row>
    <row r="244" spans="1:14" ht="12.75">
      <c r="A244" s="201" t="s">
        <v>3</v>
      </c>
      <c r="B244" s="202"/>
      <c r="C244" s="202"/>
      <c r="D244" s="202"/>
      <c r="E244" s="202"/>
      <c r="F244" s="202"/>
      <c r="G244" s="51"/>
      <c r="H244" s="178" t="s">
        <v>0</v>
      </c>
      <c r="I244" s="164"/>
      <c r="J244" s="164"/>
      <c r="K244" s="164"/>
      <c r="L244" s="164"/>
      <c r="M244" s="116"/>
      <c r="N244" s="108"/>
    </row>
    <row r="245" spans="1:14" ht="12.75">
      <c r="A245" s="186" t="s">
        <v>1297</v>
      </c>
      <c r="B245" s="164"/>
      <c r="C245" s="164"/>
      <c r="D245" s="86"/>
      <c r="E245" s="51"/>
      <c r="F245" s="51"/>
      <c r="G245" s="51"/>
      <c r="H245" s="178" t="s">
        <v>1</v>
      </c>
      <c r="I245" s="164"/>
      <c r="J245" s="164"/>
      <c r="K245" s="164"/>
      <c r="L245" s="164"/>
      <c r="M245" s="403"/>
      <c r="N245" s="404"/>
    </row>
    <row r="246" spans="1:14" ht="12.75">
      <c r="A246" s="186" t="s">
        <v>1298</v>
      </c>
      <c r="B246" s="164"/>
      <c r="C246" s="164"/>
      <c r="D246" s="86"/>
      <c r="E246" s="51"/>
      <c r="F246" s="51"/>
      <c r="G246" s="51"/>
      <c r="H246" s="51"/>
      <c r="I246" s="51"/>
      <c r="J246" s="51"/>
      <c r="K246" s="51"/>
      <c r="L246" s="51"/>
      <c r="M246" s="51"/>
      <c r="N246" s="108"/>
    </row>
    <row r="247" spans="1:14" ht="12.75">
      <c r="A247" s="119" t="s">
        <v>1307</v>
      </c>
      <c r="B247" s="434"/>
      <c r="C247" s="246"/>
      <c r="D247" s="247"/>
      <c r="E247" s="189" t="s">
        <v>1304</v>
      </c>
      <c r="F247" s="191"/>
      <c r="G247" s="85"/>
      <c r="H247" s="199" t="s">
        <v>1303</v>
      </c>
      <c r="I247" s="200"/>
      <c r="J247" s="85"/>
      <c r="K247" s="82" t="s">
        <v>1302</v>
      </c>
      <c r="L247" s="102">
        <f>IF(G247-J247&gt;300,"+5",IF(G247-J247&gt;=151,"+4",IF(G247-J247&gt;=101,"+3",IF(G247-J247&gt;=76,"+2",IF(G247-J247&gt;=51,"+1",0)))))</f>
        <v>0</v>
      </c>
      <c r="M247" s="82" t="s">
        <v>1010</v>
      </c>
      <c r="N247" s="107"/>
    </row>
    <row r="248" spans="1:14" ht="12.75">
      <c r="A248" s="153" t="s">
        <v>4</v>
      </c>
      <c r="B248" s="187"/>
      <c r="C248" s="187"/>
      <c r="D248" s="187"/>
      <c r="E248" s="187"/>
      <c r="F248" s="188"/>
      <c r="G248" s="189" t="s">
        <v>1299</v>
      </c>
      <c r="H248" s="190"/>
      <c r="I248" s="190"/>
      <c r="J248" s="190"/>
      <c r="K248" s="190"/>
      <c r="L248" s="191"/>
      <c r="M248" s="85"/>
      <c r="N248" s="120"/>
    </row>
    <row r="249" spans="1:14" ht="12.75">
      <c r="A249" s="192" t="s">
        <v>738</v>
      </c>
      <c r="B249" s="193"/>
      <c r="C249" s="79" t="s">
        <v>739</v>
      </c>
      <c r="D249" s="86"/>
      <c r="E249" s="80" t="s">
        <v>740</v>
      </c>
      <c r="F249" s="86"/>
      <c r="G249" s="80" t="s">
        <v>741</v>
      </c>
      <c r="H249" s="86"/>
      <c r="I249" s="80" t="s">
        <v>742</v>
      </c>
      <c r="J249" s="117"/>
      <c r="K249" s="182" t="s">
        <v>748</v>
      </c>
      <c r="L249" s="161"/>
      <c r="M249" s="162"/>
      <c r="N249" s="110"/>
    </row>
    <row r="250" spans="1:14" ht="12.75">
      <c r="A250" s="194"/>
      <c r="B250" s="195"/>
      <c r="C250" s="75" t="s">
        <v>743</v>
      </c>
      <c r="D250" s="87"/>
      <c r="E250" s="81" t="s">
        <v>744</v>
      </c>
      <c r="F250" s="87"/>
      <c r="G250" s="81" t="s">
        <v>745</v>
      </c>
      <c r="H250" s="87"/>
      <c r="I250" s="81" t="s">
        <v>746</v>
      </c>
      <c r="J250" s="100"/>
      <c r="K250" s="178" t="s">
        <v>756</v>
      </c>
      <c r="L250" s="178"/>
      <c r="M250" s="178"/>
      <c r="N250" s="110"/>
    </row>
    <row r="251" spans="1:14" ht="12.75">
      <c r="A251" s="179" t="s">
        <v>998</v>
      </c>
      <c r="B251" s="161"/>
      <c r="C251" s="162"/>
      <c r="D251" s="100"/>
      <c r="E251" s="178" t="s">
        <v>999</v>
      </c>
      <c r="F251" s="164"/>
      <c r="G251" s="164"/>
      <c r="H251" s="164"/>
      <c r="I251" s="164"/>
      <c r="J251" s="118">
        <f>IF(D249&gt;0,VLOOKUP(SUM(D249+F249+H249+J249+D250+F250+H250+J250),ShardsFound,2),0)+D251</f>
        <v>0</v>
      </c>
      <c r="K251" s="182" t="s">
        <v>524</v>
      </c>
      <c r="L251" s="162"/>
      <c r="M251" s="87"/>
      <c r="N251" s="109"/>
    </row>
    <row r="252" spans="1:14" ht="12.75">
      <c r="A252" s="153" t="s">
        <v>758</v>
      </c>
      <c r="B252" s="183"/>
      <c r="C252" s="183"/>
      <c r="D252" s="183"/>
      <c r="E252" s="184"/>
      <c r="F252" s="185"/>
      <c r="G252" s="51"/>
      <c r="H252" s="51"/>
      <c r="I252" s="51"/>
      <c r="J252" s="51"/>
      <c r="K252" s="78" t="s">
        <v>752</v>
      </c>
      <c r="L252" s="78"/>
      <c r="M252" s="78"/>
      <c r="N252" s="111">
        <f>IF(M251&gt;0,VLOOKUP(M251,Shards,VLOOKUP(M248,Warriors,2)),0)</f>
        <v>0</v>
      </c>
    </row>
    <row r="253" spans="1:14" ht="12.75">
      <c r="A253" s="179" t="s">
        <v>757</v>
      </c>
      <c r="B253" s="161"/>
      <c r="C253" s="161"/>
      <c r="D253" s="161"/>
      <c r="E253" s="453"/>
      <c r="F253" s="162"/>
      <c r="G253" s="178" t="s">
        <v>1308</v>
      </c>
      <c r="H253" s="178"/>
      <c r="I253" s="178"/>
      <c r="J253" s="100"/>
      <c r="K253" s="178" t="s">
        <v>6</v>
      </c>
      <c r="L253" s="164"/>
      <c r="M253" s="164"/>
      <c r="N253" s="151">
        <f>IF(I239="Able to Loot",IF(M244="No",D245*E253,0),0)</f>
        <v>0</v>
      </c>
    </row>
    <row r="254" spans="1:14" ht="12.75">
      <c r="A254" s="153" t="s">
        <v>749</v>
      </c>
      <c r="B254" s="180"/>
      <c r="C254" s="180"/>
      <c r="D254" s="180"/>
      <c r="E254" s="180"/>
      <c r="F254" s="181"/>
      <c r="G254" s="51"/>
      <c r="H254" s="51"/>
      <c r="I254" s="51"/>
      <c r="J254" s="51"/>
      <c r="K254" s="178" t="s">
        <v>755</v>
      </c>
      <c r="L254" s="178"/>
      <c r="M254" s="178"/>
      <c r="N254" s="111">
        <f>SUM(N252+N249+N253+N250)</f>
        <v>0</v>
      </c>
    </row>
    <row r="255" spans="1:14" ht="12.75">
      <c r="A255" s="179" t="s">
        <v>751</v>
      </c>
      <c r="B255" s="161"/>
      <c r="C255" s="161"/>
      <c r="D255" s="162"/>
      <c r="E255" s="86"/>
      <c r="F255" s="178" t="s">
        <v>754</v>
      </c>
      <c r="G255" s="178"/>
      <c r="H255" s="178"/>
      <c r="I255" s="87"/>
      <c r="J255" s="51"/>
      <c r="K255" s="51"/>
      <c r="L255" s="51"/>
      <c r="M255" s="51"/>
      <c r="N255" s="108"/>
    </row>
    <row r="256" spans="1:14" ht="12.75">
      <c r="A256" s="179" t="s">
        <v>750</v>
      </c>
      <c r="B256" s="161"/>
      <c r="C256" s="161"/>
      <c r="D256" s="162"/>
      <c r="E256" s="88"/>
      <c r="F256" s="51"/>
      <c r="G256" s="51"/>
      <c r="H256" s="51"/>
      <c r="I256" s="51"/>
      <c r="J256" s="51"/>
      <c r="K256" s="51"/>
      <c r="L256" s="51"/>
      <c r="M256" s="51"/>
      <c r="N256" s="108"/>
    </row>
    <row r="257" spans="1:14" ht="12.75">
      <c r="A257" s="163" t="s">
        <v>753</v>
      </c>
      <c r="B257" s="178"/>
      <c r="C257" s="178"/>
      <c r="D257" s="164"/>
      <c r="E257" s="87"/>
      <c r="F257" s="178" t="s">
        <v>5</v>
      </c>
      <c r="G257" s="164"/>
      <c r="H257" s="164"/>
      <c r="I257" s="164"/>
      <c r="J257" s="40">
        <f>SUM('Additional Members'!F$89+'Additional Members'!F$98+'Additional Members'!F$107+'Additional Members'!F$123+'Additional Members'!F$132)</f>
        <v>0</v>
      </c>
      <c r="K257" s="178" t="s">
        <v>1300</v>
      </c>
      <c r="L257" s="159"/>
      <c r="M257" s="159"/>
      <c r="N257" s="111">
        <f>SUM(E255+E256+E257+I255)</f>
        <v>0</v>
      </c>
    </row>
    <row r="258" spans="1:14" ht="12.75">
      <c r="A258" s="414" t="s">
        <v>532</v>
      </c>
      <c r="B258" s="183"/>
      <c r="C258" s="183"/>
      <c r="D258" s="183"/>
      <c r="E258" s="183"/>
      <c r="F258" s="183"/>
      <c r="G258" s="183"/>
      <c r="H258" s="183"/>
      <c r="I258" s="183"/>
      <c r="J258" s="183"/>
      <c r="K258" s="225"/>
      <c r="L258" s="415" t="s">
        <v>1001</v>
      </c>
      <c r="M258" s="161"/>
      <c r="N258" s="413"/>
    </row>
    <row r="259" spans="1:14" ht="12.75">
      <c r="A259" s="411"/>
      <c r="B259" s="161"/>
      <c r="C259" s="161"/>
      <c r="D259" s="161"/>
      <c r="E259" s="161"/>
      <c r="F259" s="161"/>
      <c r="G259" s="161"/>
      <c r="H259" s="161"/>
      <c r="I259" s="161"/>
      <c r="J259" s="161"/>
      <c r="K259" s="162"/>
      <c r="L259" s="412"/>
      <c r="M259" s="161"/>
      <c r="N259" s="413"/>
    </row>
    <row r="260" spans="1:14" ht="12.75">
      <c r="A260" s="411"/>
      <c r="B260" s="161"/>
      <c r="C260" s="161"/>
      <c r="D260" s="161"/>
      <c r="E260" s="161"/>
      <c r="F260" s="161"/>
      <c r="G260" s="161"/>
      <c r="H260" s="161"/>
      <c r="I260" s="161"/>
      <c r="J260" s="161"/>
      <c r="K260" s="162"/>
      <c r="L260" s="412"/>
      <c r="M260" s="161"/>
      <c r="N260" s="413"/>
    </row>
    <row r="261" spans="1:14" ht="12.75" customHeight="1">
      <c r="A261" s="411"/>
      <c r="B261" s="161"/>
      <c r="C261" s="161"/>
      <c r="D261" s="161"/>
      <c r="E261" s="161"/>
      <c r="F261" s="161"/>
      <c r="G261" s="161"/>
      <c r="H261" s="161"/>
      <c r="I261" s="161"/>
      <c r="J261" s="161"/>
      <c r="K261" s="162"/>
      <c r="L261" s="412"/>
      <c r="M261" s="161"/>
      <c r="N261" s="413"/>
    </row>
    <row r="262" spans="1:14" ht="12.75">
      <c r="A262" s="411"/>
      <c r="B262" s="161"/>
      <c r="C262" s="161"/>
      <c r="D262" s="161"/>
      <c r="E262" s="161"/>
      <c r="F262" s="161"/>
      <c r="G262" s="161"/>
      <c r="H262" s="161"/>
      <c r="I262" s="161"/>
      <c r="J262" s="161"/>
      <c r="K262" s="162"/>
      <c r="L262" s="412"/>
      <c r="M262" s="161"/>
      <c r="N262" s="413"/>
    </row>
    <row r="263" spans="1:14" ht="12.75">
      <c r="A263" s="411"/>
      <c r="B263" s="161"/>
      <c r="C263" s="161"/>
      <c r="D263" s="161"/>
      <c r="E263" s="161"/>
      <c r="F263" s="161"/>
      <c r="G263" s="161"/>
      <c r="H263" s="161"/>
      <c r="I263" s="161"/>
      <c r="J263" s="161"/>
      <c r="K263" s="162"/>
      <c r="L263" s="412"/>
      <c r="M263" s="161"/>
      <c r="N263" s="413"/>
    </row>
    <row r="264" spans="1:14" ht="12.75">
      <c r="A264" s="405"/>
      <c r="B264" s="406"/>
      <c r="C264" s="406"/>
      <c r="D264" s="406"/>
      <c r="E264" s="406"/>
      <c r="F264" s="406"/>
      <c r="G264" s="406"/>
      <c r="H264" s="406"/>
      <c r="I264" s="406"/>
      <c r="J264" s="406"/>
      <c r="K264" s="406"/>
      <c r="L264" s="407"/>
      <c r="M264" s="406"/>
      <c r="N264" s="408"/>
    </row>
    <row r="265" spans="1:14" ht="13.5" thickBot="1">
      <c r="A265" s="168" t="s">
        <v>1296</v>
      </c>
      <c r="B265" s="169"/>
      <c r="C265" s="170"/>
      <c r="D265" s="170"/>
      <c r="E265" s="170"/>
      <c r="F265" s="409"/>
      <c r="G265" s="409"/>
      <c r="H265" s="410"/>
      <c r="I265" s="410"/>
      <c r="J265" s="112"/>
      <c r="K265" s="113" t="s">
        <v>1000</v>
      </c>
      <c r="L265" s="113"/>
      <c r="M265" s="114"/>
      <c r="N265" s="115">
        <f>SUM(N254-N257)</f>
        <v>0</v>
      </c>
    </row>
    <row r="266" ht="12.75" customHeight="1" thickBot="1" thickTop="1"/>
    <row r="267" spans="1:14" ht="12.75" customHeight="1" thickTop="1">
      <c r="A267" s="424" t="s">
        <v>992</v>
      </c>
      <c r="B267" s="425"/>
      <c r="C267" s="426"/>
      <c r="D267" s="430">
        <f>D238+1</f>
        <v>9</v>
      </c>
      <c r="E267" s="431"/>
      <c r="F267" s="215" t="s">
        <v>997</v>
      </c>
      <c r="G267" s="216"/>
      <c r="H267" s="217"/>
      <c r="I267" s="416"/>
      <c r="J267" s="417"/>
      <c r="K267" s="417"/>
      <c r="L267" s="103" t="s">
        <v>993</v>
      </c>
      <c r="M267" s="418"/>
      <c r="N267" s="419"/>
    </row>
    <row r="268" spans="1:14" ht="12.75" customHeight="1">
      <c r="A268" s="427"/>
      <c r="B268" s="428"/>
      <c r="C268" s="429"/>
      <c r="D268" s="432"/>
      <c r="E268" s="433"/>
      <c r="F268" s="178" t="s">
        <v>996</v>
      </c>
      <c r="G268" s="178"/>
      <c r="H268" s="178"/>
      <c r="I268" s="407"/>
      <c r="J268" s="407"/>
      <c r="K268" s="407"/>
      <c r="L268" s="406"/>
      <c r="M268" s="101"/>
      <c r="N268" s="104"/>
    </row>
    <row r="269" spans="1:14" ht="12.75">
      <c r="A269" s="414" t="s">
        <v>1011</v>
      </c>
      <c r="B269" s="183"/>
      <c r="C269" s="183"/>
      <c r="D269" s="183"/>
      <c r="E269" s="183"/>
      <c r="F269" s="183"/>
      <c r="G269" s="183"/>
      <c r="H269" s="183"/>
      <c r="I269" s="183"/>
      <c r="J269" s="225"/>
      <c r="K269" s="83" t="s">
        <v>1006</v>
      </c>
      <c r="L269" s="90">
        <f>SUM(+IF(N270="Win",1,0)+IF(N271="Win",1,0)+IF(N272="win",1,0)+IF(N276="win",1,0))</f>
        <v>0</v>
      </c>
      <c r="M269" s="83" t="s">
        <v>1007</v>
      </c>
      <c r="N269" s="105">
        <f>SUM(+IF(N270="Loss",1,0)+IF(N271="Loss",1,0)+IF(N272="loss",1,0)+IF(N276="Loss",1,0))</f>
        <v>0</v>
      </c>
    </row>
    <row r="270" spans="1:14" ht="12.75">
      <c r="A270" s="106" t="s">
        <v>1009</v>
      </c>
      <c r="B270" s="434"/>
      <c r="C270" s="246"/>
      <c r="D270" s="247"/>
      <c r="E270" s="189" t="s">
        <v>1304</v>
      </c>
      <c r="F270" s="191"/>
      <c r="G270" s="85"/>
      <c r="H270" s="199" t="s">
        <v>1303</v>
      </c>
      <c r="I270" s="200"/>
      <c r="J270" s="85"/>
      <c r="K270" s="82" t="s">
        <v>1302</v>
      </c>
      <c r="L270" s="102">
        <f>IF(G270-J270&gt;300,"+5",IF(G270-J270&gt;=151,"+4",IF(G270-J270&gt;=101,"+3",IF(G270-J270&gt;=76,"+2",IF(G270-J270&gt;=51,"+1",0)))))</f>
        <v>0</v>
      </c>
      <c r="M270" s="82" t="s">
        <v>1010</v>
      </c>
      <c r="N270" s="107"/>
    </row>
    <row r="271" spans="1:14" ht="12.75">
      <c r="A271" s="106" t="s">
        <v>1009</v>
      </c>
      <c r="B271" s="434"/>
      <c r="C271" s="246"/>
      <c r="D271" s="247"/>
      <c r="E271" s="189" t="s">
        <v>1304</v>
      </c>
      <c r="F271" s="191"/>
      <c r="G271" s="85"/>
      <c r="H271" s="199" t="s">
        <v>1303</v>
      </c>
      <c r="I271" s="200"/>
      <c r="J271" s="85"/>
      <c r="K271" s="82" t="s">
        <v>1302</v>
      </c>
      <c r="L271" s="102">
        <f>IF(G271-J271&gt;300,"+5",IF(G271-J271&gt;=151,"+4",IF(G271-J271&gt;=101,"+3",IF(G271-J271&gt;=76,"+2",IF(G271-J271&gt;=51,"+1",0)))))</f>
        <v>0</v>
      </c>
      <c r="M271" s="82" t="s">
        <v>1010</v>
      </c>
      <c r="N271" s="107"/>
    </row>
    <row r="272" spans="1:14" ht="12.75">
      <c r="A272" s="106" t="s">
        <v>1009</v>
      </c>
      <c r="B272" s="434"/>
      <c r="C272" s="246"/>
      <c r="D272" s="247"/>
      <c r="E272" s="189" t="s">
        <v>1304</v>
      </c>
      <c r="F272" s="191"/>
      <c r="G272" s="85"/>
      <c r="H272" s="199" t="s">
        <v>1303</v>
      </c>
      <c r="I272" s="200"/>
      <c r="J272" s="85"/>
      <c r="K272" s="82" t="s">
        <v>1302</v>
      </c>
      <c r="L272" s="102">
        <f>IF(G272-J272&gt;300,"+5",IF(G272-J272&gt;=151,"+4",IF(G272-J272&gt;=101,"+3",IF(G272-J272&gt;=76,"+2",IF(G272-J272&gt;=51,"+1",0)))))</f>
        <v>0</v>
      </c>
      <c r="M272" s="82" t="s">
        <v>1010</v>
      </c>
      <c r="N272" s="107"/>
    </row>
    <row r="273" spans="1:14" ht="12.75">
      <c r="A273" s="201" t="s">
        <v>3</v>
      </c>
      <c r="B273" s="202"/>
      <c r="C273" s="202"/>
      <c r="D273" s="202"/>
      <c r="E273" s="202"/>
      <c r="F273" s="202"/>
      <c r="G273" s="51"/>
      <c r="H273" s="178" t="s">
        <v>0</v>
      </c>
      <c r="I273" s="164"/>
      <c r="J273" s="164"/>
      <c r="K273" s="164"/>
      <c r="L273" s="164"/>
      <c r="M273" s="116"/>
      <c r="N273" s="108"/>
    </row>
    <row r="274" spans="1:14" ht="12.75">
      <c r="A274" s="186" t="s">
        <v>1297</v>
      </c>
      <c r="B274" s="164"/>
      <c r="C274" s="164"/>
      <c r="D274" s="86"/>
      <c r="E274" s="51"/>
      <c r="F274" s="51"/>
      <c r="G274" s="51"/>
      <c r="H274" s="178" t="s">
        <v>1</v>
      </c>
      <c r="I274" s="164"/>
      <c r="J274" s="164"/>
      <c r="K274" s="164"/>
      <c r="L274" s="164"/>
      <c r="M274" s="403"/>
      <c r="N274" s="404"/>
    </row>
    <row r="275" spans="1:14" ht="12.75">
      <c r="A275" s="186" t="s">
        <v>1298</v>
      </c>
      <c r="B275" s="164"/>
      <c r="C275" s="164"/>
      <c r="D275" s="86"/>
      <c r="E275" s="51"/>
      <c r="F275" s="51"/>
      <c r="G275" s="51"/>
      <c r="H275" s="51"/>
      <c r="I275" s="51"/>
      <c r="J275" s="51"/>
      <c r="K275" s="51"/>
      <c r="L275" s="51"/>
      <c r="M275" s="51"/>
      <c r="N275" s="108"/>
    </row>
    <row r="276" spans="1:14" ht="12.75">
      <c r="A276" s="119" t="s">
        <v>1307</v>
      </c>
      <c r="B276" s="434"/>
      <c r="C276" s="246"/>
      <c r="D276" s="247"/>
      <c r="E276" s="189" t="s">
        <v>1304</v>
      </c>
      <c r="F276" s="191"/>
      <c r="G276" s="85"/>
      <c r="H276" s="199" t="s">
        <v>1303</v>
      </c>
      <c r="I276" s="200"/>
      <c r="J276" s="85"/>
      <c r="K276" s="82" t="s">
        <v>1302</v>
      </c>
      <c r="L276" s="102">
        <f>IF(G276-J276&gt;300,"+5",IF(G276-J276&gt;=151,"+4",IF(G276-J276&gt;=101,"+3",IF(G276-J276&gt;=76,"+2",IF(G276-J276&gt;=51,"+1",0)))))</f>
        <v>0</v>
      </c>
      <c r="M276" s="82" t="s">
        <v>1010</v>
      </c>
      <c r="N276" s="107"/>
    </row>
    <row r="277" spans="1:14" ht="12.75">
      <c r="A277" s="153" t="s">
        <v>4</v>
      </c>
      <c r="B277" s="187"/>
      <c r="C277" s="187"/>
      <c r="D277" s="187"/>
      <c r="E277" s="187"/>
      <c r="F277" s="188"/>
      <c r="G277" s="189" t="s">
        <v>1299</v>
      </c>
      <c r="H277" s="190"/>
      <c r="I277" s="190"/>
      <c r="J277" s="190"/>
      <c r="K277" s="190"/>
      <c r="L277" s="191"/>
      <c r="M277" s="85"/>
      <c r="N277" s="120"/>
    </row>
    <row r="278" spans="1:14" ht="12.75">
      <c r="A278" s="192" t="s">
        <v>738</v>
      </c>
      <c r="B278" s="193"/>
      <c r="C278" s="79" t="s">
        <v>739</v>
      </c>
      <c r="D278" s="86"/>
      <c r="E278" s="80" t="s">
        <v>740</v>
      </c>
      <c r="F278" s="86"/>
      <c r="G278" s="80" t="s">
        <v>741</v>
      </c>
      <c r="H278" s="86"/>
      <c r="I278" s="80" t="s">
        <v>742</v>
      </c>
      <c r="J278" s="117"/>
      <c r="K278" s="182" t="s">
        <v>748</v>
      </c>
      <c r="L278" s="161"/>
      <c r="M278" s="162"/>
      <c r="N278" s="110"/>
    </row>
    <row r="279" spans="1:14" ht="12.75">
      <c r="A279" s="194"/>
      <c r="B279" s="195"/>
      <c r="C279" s="75" t="s">
        <v>743</v>
      </c>
      <c r="D279" s="87"/>
      <c r="E279" s="81" t="s">
        <v>744</v>
      </c>
      <c r="F279" s="87"/>
      <c r="G279" s="81" t="s">
        <v>745</v>
      </c>
      <c r="H279" s="87"/>
      <c r="I279" s="81" t="s">
        <v>746</v>
      </c>
      <c r="J279" s="100"/>
      <c r="K279" s="178" t="s">
        <v>756</v>
      </c>
      <c r="L279" s="178"/>
      <c r="M279" s="178"/>
      <c r="N279" s="110"/>
    </row>
    <row r="280" spans="1:14" ht="12.75">
      <c r="A280" s="179" t="s">
        <v>998</v>
      </c>
      <c r="B280" s="161"/>
      <c r="C280" s="162"/>
      <c r="D280" s="100"/>
      <c r="E280" s="178" t="s">
        <v>999</v>
      </c>
      <c r="F280" s="164"/>
      <c r="G280" s="164"/>
      <c r="H280" s="164"/>
      <c r="I280" s="164"/>
      <c r="J280" s="118">
        <f>IF(D278&gt;0,VLOOKUP(SUM(D278+F278+H278+J278+D279+F279+H279+J279),ShardsFound,2),0)+D280</f>
        <v>0</v>
      </c>
      <c r="K280" s="182" t="s">
        <v>524</v>
      </c>
      <c r="L280" s="162"/>
      <c r="M280" s="87"/>
      <c r="N280" s="109"/>
    </row>
    <row r="281" spans="1:14" ht="12.75">
      <c r="A281" s="153" t="s">
        <v>758</v>
      </c>
      <c r="B281" s="183"/>
      <c r="C281" s="183"/>
      <c r="D281" s="183"/>
      <c r="E281" s="184"/>
      <c r="F281" s="185"/>
      <c r="G281" s="51"/>
      <c r="H281" s="51"/>
      <c r="I281" s="51"/>
      <c r="J281" s="51"/>
      <c r="K281" s="78" t="s">
        <v>752</v>
      </c>
      <c r="L281" s="78"/>
      <c r="M281" s="78"/>
      <c r="N281" s="111">
        <f>IF(M280&gt;0,VLOOKUP(M280,Shards,VLOOKUP(M277,Warriors,2)),0)</f>
        <v>0</v>
      </c>
    </row>
    <row r="282" spans="1:14" ht="12.75">
      <c r="A282" s="179" t="s">
        <v>757</v>
      </c>
      <c r="B282" s="161"/>
      <c r="C282" s="161"/>
      <c r="D282" s="161"/>
      <c r="E282" s="453"/>
      <c r="F282" s="162"/>
      <c r="G282" s="178" t="s">
        <v>1308</v>
      </c>
      <c r="H282" s="178"/>
      <c r="I282" s="178"/>
      <c r="J282" s="100"/>
      <c r="K282" s="178" t="s">
        <v>6</v>
      </c>
      <c r="L282" s="164"/>
      <c r="M282" s="164"/>
      <c r="N282" s="151">
        <f>IF(I268="Able to Loot",IF(M273="No",D274*E282,0),0)</f>
        <v>0</v>
      </c>
    </row>
    <row r="283" spans="1:14" ht="12.75">
      <c r="A283" s="153" t="s">
        <v>749</v>
      </c>
      <c r="B283" s="180"/>
      <c r="C283" s="180"/>
      <c r="D283" s="180"/>
      <c r="E283" s="180"/>
      <c r="F283" s="181"/>
      <c r="G283" s="51"/>
      <c r="H283" s="51"/>
      <c r="I283" s="51"/>
      <c r="J283" s="51"/>
      <c r="K283" s="178" t="s">
        <v>755</v>
      </c>
      <c r="L283" s="178"/>
      <c r="M283" s="178"/>
      <c r="N283" s="111">
        <f>SUM(N281+N278+N282+N279)</f>
        <v>0</v>
      </c>
    </row>
    <row r="284" spans="1:14" ht="12.75">
      <c r="A284" s="179" t="s">
        <v>751</v>
      </c>
      <c r="B284" s="161"/>
      <c r="C284" s="161"/>
      <c r="D284" s="162"/>
      <c r="E284" s="86"/>
      <c r="F284" s="178" t="s">
        <v>754</v>
      </c>
      <c r="G284" s="178"/>
      <c r="H284" s="178"/>
      <c r="I284" s="87"/>
      <c r="J284" s="51"/>
      <c r="K284" s="51"/>
      <c r="L284" s="51"/>
      <c r="M284" s="51"/>
      <c r="N284" s="108"/>
    </row>
    <row r="285" spans="1:14" ht="12.75">
      <c r="A285" s="179" t="s">
        <v>750</v>
      </c>
      <c r="B285" s="161"/>
      <c r="C285" s="161"/>
      <c r="D285" s="162"/>
      <c r="E285" s="88"/>
      <c r="F285" s="51"/>
      <c r="G285" s="51"/>
      <c r="H285" s="51"/>
      <c r="I285" s="51"/>
      <c r="J285" s="51"/>
      <c r="K285" s="51"/>
      <c r="L285" s="51"/>
      <c r="M285" s="51"/>
      <c r="N285" s="108"/>
    </row>
    <row r="286" spans="1:14" ht="12.75">
      <c r="A286" s="163" t="s">
        <v>753</v>
      </c>
      <c r="B286" s="178"/>
      <c r="C286" s="178"/>
      <c r="D286" s="164"/>
      <c r="E286" s="87"/>
      <c r="F286" s="178" t="s">
        <v>5</v>
      </c>
      <c r="G286" s="164"/>
      <c r="H286" s="164"/>
      <c r="I286" s="164"/>
      <c r="J286" s="40">
        <f>SUM('Additional Members'!F$89+'Additional Members'!F$98+'Additional Members'!F$107+'Additional Members'!F$123+'Additional Members'!F$132)</f>
        <v>0</v>
      </c>
      <c r="K286" s="178" t="s">
        <v>1300</v>
      </c>
      <c r="L286" s="159"/>
      <c r="M286" s="159"/>
      <c r="N286" s="111">
        <f>SUM(E284+E285+E286+I284)</f>
        <v>0</v>
      </c>
    </row>
    <row r="287" spans="1:14" ht="12.75">
      <c r="A287" s="414" t="s">
        <v>532</v>
      </c>
      <c r="B287" s="183"/>
      <c r="C287" s="183"/>
      <c r="D287" s="183"/>
      <c r="E287" s="183"/>
      <c r="F287" s="183"/>
      <c r="G287" s="183"/>
      <c r="H287" s="183"/>
      <c r="I287" s="183"/>
      <c r="J287" s="183"/>
      <c r="K287" s="225"/>
      <c r="L287" s="415" t="s">
        <v>1001</v>
      </c>
      <c r="M287" s="161"/>
      <c r="N287" s="413"/>
    </row>
    <row r="288" spans="1:14" ht="12.75">
      <c r="A288" s="411"/>
      <c r="B288" s="161"/>
      <c r="C288" s="161"/>
      <c r="D288" s="161"/>
      <c r="E288" s="161"/>
      <c r="F288" s="161"/>
      <c r="G288" s="161"/>
      <c r="H288" s="161"/>
      <c r="I288" s="161"/>
      <c r="J288" s="161"/>
      <c r="K288" s="162"/>
      <c r="L288" s="412"/>
      <c r="M288" s="161"/>
      <c r="N288" s="413"/>
    </row>
    <row r="289" spans="1:14" ht="12.75">
      <c r="A289" s="411"/>
      <c r="B289" s="161"/>
      <c r="C289" s="161"/>
      <c r="D289" s="161"/>
      <c r="E289" s="161"/>
      <c r="F289" s="161"/>
      <c r="G289" s="161"/>
      <c r="H289" s="161"/>
      <c r="I289" s="161"/>
      <c r="J289" s="161"/>
      <c r="K289" s="162"/>
      <c r="L289" s="412"/>
      <c r="M289" s="161"/>
      <c r="N289" s="413"/>
    </row>
    <row r="290" spans="1:14" ht="12.75">
      <c r="A290" s="411"/>
      <c r="B290" s="161"/>
      <c r="C290" s="161"/>
      <c r="D290" s="161"/>
      <c r="E290" s="161"/>
      <c r="F290" s="161"/>
      <c r="G290" s="161"/>
      <c r="H290" s="161"/>
      <c r="I290" s="161"/>
      <c r="J290" s="161"/>
      <c r="K290" s="162"/>
      <c r="L290" s="412"/>
      <c r="M290" s="161"/>
      <c r="N290" s="413"/>
    </row>
    <row r="291" spans="1:14" ht="12.75">
      <c r="A291" s="411"/>
      <c r="B291" s="161"/>
      <c r="C291" s="161"/>
      <c r="D291" s="161"/>
      <c r="E291" s="161"/>
      <c r="F291" s="161"/>
      <c r="G291" s="161"/>
      <c r="H291" s="161"/>
      <c r="I291" s="161"/>
      <c r="J291" s="161"/>
      <c r="K291" s="162"/>
      <c r="L291" s="412"/>
      <c r="M291" s="161"/>
      <c r="N291" s="413"/>
    </row>
    <row r="292" spans="1:14" ht="12.75">
      <c r="A292" s="411"/>
      <c r="B292" s="161"/>
      <c r="C292" s="161"/>
      <c r="D292" s="161"/>
      <c r="E292" s="161"/>
      <c r="F292" s="161"/>
      <c r="G292" s="161"/>
      <c r="H292" s="161"/>
      <c r="I292" s="161"/>
      <c r="J292" s="161"/>
      <c r="K292" s="162"/>
      <c r="L292" s="412"/>
      <c r="M292" s="161"/>
      <c r="N292" s="413"/>
    </row>
    <row r="293" spans="1:14" ht="12.75">
      <c r="A293" s="405"/>
      <c r="B293" s="406"/>
      <c r="C293" s="406"/>
      <c r="D293" s="406"/>
      <c r="E293" s="406"/>
      <c r="F293" s="406"/>
      <c r="G293" s="406"/>
      <c r="H293" s="406"/>
      <c r="I293" s="406"/>
      <c r="J293" s="406"/>
      <c r="K293" s="406"/>
      <c r="L293" s="407"/>
      <c r="M293" s="406"/>
      <c r="N293" s="408"/>
    </row>
    <row r="294" spans="1:14" ht="13.5" thickBot="1">
      <c r="A294" s="168" t="s">
        <v>1296</v>
      </c>
      <c r="B294" s="169"/>
      <c r="C294" s="170"/>
      <c r="D294" s="170"/>
      <c r="E294" s="170"/>
      <c r="F294" s="409"/>
      <c r="G294" s="409"/>
      <c r="H294" s="410"/>
      <c r="I294" s="410"/>
      <c r="J294" s="112"/>
      <c r="K294" s="113" t="s">
        <v>1000</v>
      </c>
      <c r="L294" s="113"/>
      <c r="M294" s="114"/>
      <c r="N294" s="115">
        <f>SUM(N283-N286)</f>
        <v>0</v>
      </c>
    </row>
    <row r="295" spans="1:14" ht="15.75" thickTop="1">
      <c r="A295" s="67" t="s">
        <v>1003</v>
      </c>
      <c r="B295" s="420">
        <f>SUBSTITUTE(Heroes!F$1,0,"")</f>
      </c>
      <c r="C295" s="421"/>
      <c r="D295" s="421"/>
      <c r="E295" s="422"/>
      <c r="F295" s="422"/>
      <c r="G295" s="422"/>
      <c r="H295" s="422"/>
      <c r="I295" s="422"/>
      <c r="J295" s="422"/>
      <c r="K295" s="422"/>
      <c r="L295" s="422"/>
      <c r="M295" s="422"/>
      <c r="N295" s="423"/>
    </row>
    <row r="296" ht="13.5" thickBot="1"/>
    <row r="297" spans="1:14" ht="12.75" customHeight="1" thickTop="1">
      <c r="A297" s="424" t="s">
        <v>992</v>
      </c>
      <c r="B297" s="425"/>
      <c r="C297" s="426"/>
      <c r="D297" s="430">
        <f>D238+2</f>
        <v>10</v>
      </c>
      <c r="E297" s="431"/>
      <c r="F297" s="215" t="s">
        <v>997</v>
      </c>
      <c r="G297" s="216"/>
      <c r="H297" s="217"/>
      <c r="I297" s="416"/>
      <c r="J297" s="417"/>
      <c r="K297" s="417"/>
      <c r="L297" s="103" t="s">
        <v>993</v>
      </c>
      <c r="M297" s="418"/>
      <c r="N297" s="419"/>
    </row>
    <row r="298" spans="1:14" ht="12.75" customHeight="1">
      <c r="A298" s="427"/>
      <c r="B298" s="428"/>
      <c r="C298" s="429"/>
      <c r="D298" s="432"/>
      <c r="E298" s="433"/>
      <c r="F298" s="178" t="s">
        <v>996</v>
      </c>
      <c r="G298" s="178"/>
      <c r="H298" s="178"/>
      <c r="I298" s="407"/>
      <c r="J298" s="407"/>
      <c r="K298" s="407"/>
      <c r="L298" s="406"/>
      <c r="M298" s="101"/>
      <c r="N298" s="104"/>
    </row>
    <row r="299" spans="1:14" ht="12.75">
      <c r="A299" s="414" t="s">
        <v>1011</v>
      </c>
      <c r="B299" s="183"/>
      <c r="C299" s="183"/>
      <c r="D299" s="183"/>
      <c r="E299" s="183"/>
      <c r="F299" s="183"/>
      <c r="G299" s="183"/>
      <c r="H299" s="183"/>
      <c r="I299" s="183"/>
      <c r="J299" s="225"/>
      <c r="K299" s="83" t="s">
        <v>1006</v>
      </c>
      <c r="L299" s="90">
        <f>SUM(+IF(N300="Win",1,0)+IF(N301="Win",1,0)+IF(N302="win",1,0)+IF(N306="win",1,0))</f>
        <v>0</v>
      </c>
      <c r="M299" s="83" t="s">
        <v>1007</v>
      </c>
      <c r="N299" s="105">
        <f>SUM(+IF(N300="Loss",1,0)+IF(N301="Loss",1,0)+IF(N302="loss",1,0)+IF(N306="Loss",1,0))</f>
        <v>0</v>
      </c>
    </row>
    <row r="300" spans="1:14" ht="12.75">
      <c r="A300" s="106" t="s">
        <v>1009</v>
      </c>
      <c r="B300" s="434"/>
      <c r="C300" s="246"/>
      <c r="D300" s="247"/>
      <c r="E300" s="189" t="s">
        <v>1304</v>
      </c>
      <c r="F300" s="191"/>
      <c r="G300" s="85"/>
      <c r="H300" s="199" t="s">
        <v>1303</v>
      </c>
      <c r="I300" s="200"/>
      <c r="J300" s="85"/>
      <c r="K300" s="82" t="s">
        <v>1302</v>
      </c>
      <c r="L300" s="102">
        <f>IF(G300-J300&gt;300,"+5",IF(G300-J300&gt;=151,"+4",IF(G300-J300&gt;=101,"+3",IF(G300-J300&gt;=76,"+2",IF(G300-J300&gt;=51,"+1",0)))))</f>
        <v>0</v>
      </c>
      <c r="M300" s="82" t="s">
        <v>1010</v>
      </c>
      <c r="N300" s="107"/>
    </row>
    <row r="301" spans="1:14" ht="12.75">
      <c r="A301" s="106" t="s">
        <v>1009</v>
      </c>
      <c r="B301" s="434"/>
      <c r="C301" s="246"/>
      <c r="D301" s="247"/>
      <c r="E301" s="189" t="s">
        <v>1304</v>
      </c>
      <c r="F301" s="191"/>
      <c r="G301" s="85"/>
      <c r="H301" s="199" t="s">
        <v>1303</v>
      </c>
      <c r="I301" s="200"/>
      <c r="J301" s="85"/>
      <c r="K301" s="82" t="s">
        <v>1302</v>
      </c>
      <c r="L301" s="102">
        <f>IF(G301-J301&gt;300,"+5",IF(G301-J301&gt;=151,"+4",IF(G301-J301&gt;=101,"+3",IF(G301-J301&gt;=76,"+2",IF(G301-J301&gt;=51,"+1",0)))))</f>
        <v>0</v>
      </c>
      <c r="M301" s="82" t="s">
        <v>1010</v>
      </c>
      <c r="N301" s="107"/>
    </row>
    <row r="302" spans="1:14" ht="12.75">
      <c r="A302" s="106" t="s">
        <v>1009</v>
      </c>
      <c r="B302" s="434"/>
      <c r="C302" s="246"/>
      <c r="D302" s="247"/>
      <c r="E302" s="189" t="s">
        <v>1304</v>
      </c>
      <c r="F302" s="191"/>
      <c r="G302" s="85"/>
      <c r="H302" s="199" t="s">
        <v>1303</v>
      </c>
      <c r="I302" s="200"/>
      <c r="J302" s="85"/>
      <c r="K302" s="82" t="s">
        <v>1302</v>
      </c>
      <c r="L302" s="102">
        <f>IF(G302-J302&gt;300,"+5",IF(G302-J302&gt;=151,"+4",IF(G302-J302&gt;=101,"+3",IF(G302-J302&gt;=76,"+2",IF(G302-J302&gt;=51,"+1",0)))))</f>
        <v>0</v>
      </c>
      <c r="M302" s="82" t="s">
        <v>1010</v>
      </c>
      <c r="N302" s="107"/>
    </row>
    <row r="303" spans="1:14" ht="12.75">
      <c r="A303" s="201" t="s">
        <v>3</v>
      </c>
      <c r="B303" s="202"/>
      <c r="C303" s="202"/>
      <c r="D303" s="202"/>
      <c r="E303" s="202"/>
      <c r="F303" s="202"/>
      <c r="G303" s="51"/>
      <c r="H303" s="178" t="s">
        <v>0</v>
      </c>
      <c r="I303" s="164"/>
      <c r="J303" s="164"/>
      <c r="K303" s="164"/>
      <c r="L303" s="164"/>
      <c r="M303" s="116"/>
      <c r="N303" s="108"/>
    </row>
    <row r="304" spans="1:14" ht="12.75">
      <c r="A304" s="186" t="s">
        <v>1297</v>
      </c>
      <c r="B304" s="164"/>
      <c r="C304" s="164"/>
      <c r="D304" s="86"/>
      <c r="E304" s="51"/>
      <c r="F304" s="51"/>
      <c r="G304" s="51"/>
      <c r="H304" s="178" t="s">
        <v>1</v>
      </c>
      <c r="I304" s="164"/>
      <c r="J304" s="164"/>
      <c r="K304" s="164"/>
      <c r="L304" s="164"/>
      <c r="M304" s="403"/>
      <c r="N304" s="404"/>
    </row>
    <row r="305" spans="1:14" ht="12.75">
      <c r="A305" s="186" t="s">
        <v>1298</v>
      </c>
      <c r="B305" s="164"/>
      <c r="C305" s="164"/>
      <c r="D305" s="86"/>
      <c r="E305" s="51"/>
      <c r="F305" s="51"/>
      <c r="G305" s="51"/>
      <c r="H305" s="51"/>
      <c r="I305" s="51"/>
      <c r="J305" s="51"/>
      <c r="K305" s="51"/>
      <c r="L305" s="51"/>
      <c r="M305" s="51"/>
      <c r="N305" s="108"/>
    </row>
    <row r="306" spans="1:14" ht="12.75">
      <c r="A306" s="119" t="s">
        <v>1307</v>
      </c>
      <c r="B306" s="434"/>
      <c r="C306" s="246"/>
      <c r="D306" s="247"/>
      <c r="E306" s="189" t="s">
        <v>1304</v>
      </c>
      <c r="F306" s="191"/>
      <c r="G306" s="85"/>
      <c r="H306" s="199" t="s">
        <v>1303</v>
      </c>
      <c r="I306" s="200"/>
      <c r="J306" s="85"/>
      <c r="K306" s="82" t="s">
        <v>1302</v>
      </c>
      <c r="L306" s="102">
        <f>IF(G306-J306&gt;300,"+5",IF(G306-J306&gt;=151,"+4",IF(G306-J306&gt;=101,"+3",IF(G306-J306&gt;=76,"+2",IF(G306-J306&gt;=51,"+1",0)))))</f>
        <v>0</v>
      </c>
      <c r="M306" s="82" t="s">
        <v>1010</v>
      </c>
      <c r="N306" s="107"/>
    </row>
    <row r="307" spans="1:14" ht="12.75">
      <c r="A307" s="153" t="s">
        <v>4</v>
      </c>
      <c r="B307" s="187"/>
      <c r="C307" s="187"/>
      <c r="D307" s="187"/>
      <c r="E307" s="187"/>
      <c r="F307" s="188"/>
      <c r="G307" s="189" t="s">
        <v>1299</v>
      </c>
      <c r="H307" s="190"/>
      <c r="I307" s="190"/>
      <c r="J307" s="190"/>
      <c r="K307" s="190"/>
      <c r="L307" s="191"/>
      <c r="M307" s="85"/>
      <c r="N307" s="120"/>
    </row>
    <row r="308" spans="1:14" ht="12.75">
      <c r="A308" s="192" t="s">
        <v>738</v>
      </c>
      <c r="B308" s="193"/>
      <c r="C308" s="79" t="s">
        <v>739</v>
      </c>
      <c r="D308" s="86"/>
      <c r="E308" s="80" t="s">
        <v>740</v>
      </c>
      <c r="F308" s="86"/>
      <c r="G308" s="80" t="s">
        <v>741</v>
      </c>
      <c r="H308" s="86"/>
      <c r="I308" s="80" t="s">
        <v>742</v>
      </c>
      <c r="J308" s="117"/>
      <c r="K308" s="182" t="s">
        <v>748</v>
      </c>
      <c r="L308" s="161"/>
      <c r="M308" s="162"/>
      <c r="N308" s="110"/>
    </row>
    <row r="309" spans="1:14" ht="12.75">
      <c r="A309" s="194"/>
      <c r="B309" s="195"/>
      <c r="C309" s="75" t="s">
        <v>743</v>
      </c>
      <c r="D309" s="87"/>
      <c r="E309" s="81" t="s">
        <v>744</v>
      </c>
      <c r="F309" s="87"/>
      <c r="G309" s="81" t="s">
        <v>745</v>
      </c>
      <c r="H309" s="87"/>
      <c r="I309" s="81" t="s">
        <v>746</v>
      </c>
      <c r="J309" s="100"/>
      <c r="K309" s="178" t="s">
        <v>756</v>
      </c>
      <c r="L309" s="178"/>
      <c r="M309" s="178"/>
      <c r="N309" s="110"/>
    </row>
    <row r="310" spans="1:14" ht="12.75">
      <c r="A310" s="179" t="s">
        <v>998</v>
      </c>
      <c r="B310" s="161"/>
      <c r="C310" s="162"/>
      <c r="D310" s="100"/>
      <c r="E310" s="178" t="s">
        <v>999</v>
      </c>
      <c r="F310" s="164"/>
      <c r="G310" s="164"/>
      <c r="H310" s="164"/>
      <c r="I310" s="164"/>
      <c r="J310" s="118">
        <f>IF(D308&gt;0,VLOOKUP(SUM(D308+F308+H308+J308+D309+F309+H309+J309),ShardsFound,2),0)+D310</f>
        <v>0</v>
      </c>
      <c r="K310" s="182" t="s">
        <v>524</v>
      </c>
      <c r="L310" s="162"/>
      <c r="M310" s="87"/>
      <c r="N310" s="109"/>
    </row>
    <row r="311" spans="1:14" ht="12.75">
      <c r="A311" s="153" t="s">
        <v>758</v>
      </c>
      <c r="B311" s="183"/>
      <c r="C311" s="183"/>
      <c r="D311" s="183"/>
      <c r="E311" s="184"/>
      <c r="F311" s="185"/>
      <c r="G311" s="51"/>
      <c r="H311" s="51"/>
      <c r="I311" s="51"/>
      <c r="J311" s="51"/>
      <c r="K311" s="78" t="s">
        <v>752</v>
      </c>
      <c r="L311" s="78"/>
      <c r="M311" s="78"/>
      <c r="N311" s="111">
        <f>IF(M310&gt;0,VLOOKUP(M310,Shards,VLOOKUP(M307,Warriors,2)),0)</f>
        <v>0</v>
      </c>
    </row>
    <row r="312" spans="1:14" ht="12.75">
      <c r="A312" s="179" t="s">
        <v>757</v>
      </c>
      <c r="B312" s="161"/>
      <c r="C312" s="161"/>
      <c r="D312" s="161"/>
      <c r="E312" s="453"/>
      <c r="F312" s="162"/>
      <c r="G312" s="178" t="s">
        <v>1308</v>
      </c>
      <c r="H312" s="178"/>
      <c r="I312" s="178"/>
      <c r="J312" s="100"/>
      <c r="K312" s="178" t="s">
        <v>6</v>
      </c>
      <c r="L312" s="164"/>
      <c r="M312" s="164"/>
      <c r="N312" s="151">
        <f>IF(I298="Able to Loot",IF(M303="No",D304*E312,0),0)</f>
        <v>0</v>
      </c>
    </row>
    <row r="313" spans="1:14" ht="12.75">
      <c r="A313" s="153" t="s">
        <v>749</v>
      </c>
      <c r="B313" s="180"/>
      <c r="C313" s="180"/>
      <c r="D313" s="180"/>
      <c r="E313" s="180"/>
      <c r="F313" s="181"/>
      <c r="G313" s="51"/>
      <c r="H313" s="51"/>
      <c r="I313" s="51"/>
      <c r="J313" s="51"/>
      <c r="K313" s="178" t="s">
        <v>755</v>
      </c>
      <c r="L313" s="178"/>
      <c r="M313" s="178"/>
      <c r="N313" s="111">
        <f>SUM(N311+N308+N312+N309)</f>
        <v>0</v>
      </c>
    </row>
    <row r="314" spans="1:14" ht="12.75">
      <c r="A314" s="179" t="s">
        <v>751</v>
      </c>
      <c r="B314" s="161"/>
      <c r="C314" s="161"/>
      <c r="D314" s="162"/>
      <c r="E314" s="86"/>
      <c r="F314" s="178" t="s">
        <v>754</v>
      </c>
      <c r="G314" s="178"/>
      <c r="H314" s="178"/>
      <c r="I314" s="87"/>
      <c r="J314" s="51"/>
      <c r="K314" s="51"/>
      <c r="L314" s="51"/>
      <c r="M314" s="51"/>
      <c r="N314" s="108"/>
    </row>
    <row r="315" spans="1:14" ht="12.75">
      <c r="A315" s="179" t="s">
        <v>750</v>
      </c>
      <c r="B315" s="161"/>
      <c r="C315" s="161"/>
      <c r="D315" s="162"/>
      <c r="E315" s="88"/>
      <c r="F315" s="51"/>
      <c r="G315" s="51"/>
      <c r="H315" s="51"/>
      <c r="I315" s="51"/>
      <c r="J315" s="51"/>
      <c r="K315" s="51"/>
      <c r="L315" s="51"/>
      <c r="M315" s="51"/>
      <c r="N315" s="108"/>
    </row>
    <row r="316" spans="1:14" ht="12.75">
      <c r="A316" s="163" t="s">
        <v>753</v>
      </c>
      <c r="B316" s="178"/>
      <c r="C316" s="178"/>
      <c r="D316" s="164"/>
      <c r="E316" s="87"/>
      <c r="F316" s="178" t="s">
        <v>5</v>
      </c>
      <c r="G316" s="164"/>
      <c r="H316" s="164"/>
      <c r="I316" s="164"/>
      <c r="J316" s="40">
        <f>SUM('Additional Members'!F$89+'Additional Members'!F$98+'Additional Members'!F$107+'Additional Members'!F$123+'Additional Members'!F$132)</f>
        <v>0</v>
      </c>
      <c r="K316" s="178" t="s">
        <v>1300</v>
      </c>
      <c r="L316" s="159"/>
      <c r="M316" s="159"/>
      <c r="N316" s="111">
        <f>SUM(E314+E315+E316+I314)</f>
        <v>0</v>
      </c>
    </row>
    <row r="317" spans="1:14" ht="12.75">
      <c r="A317" s="414" t="s">
        <v>532</v>
      </c>
      <c r="B317" s="183"/>
      <c r="C317" s="183"/>
      <c r="D317" s="183"/>
      <c r="E317" s="183"/>
      <c r="F317" s="183"/>
      <c r="G317" s="183"/>
      <c r="H317" s="183"/>
      <c r="I317" s="183"/>
      <c r="J317" s="183"/>
      <c r="K317" s="225"/>
      <c r="L317" s="415" t="s">
        <v>1001</v>
      </c>
      <c r="M317" s="161"/>
      <c r="N317" s="413"/>
    </row>
    <row r="318" spans="1:14" ht="12.75">
      <c r="A318" s="411"/>
      <c r="B318" s="161"/>
      <c r="C318" s="161"/>
      <c r="D318" s="161"/>
      <c r="E318" s="161"/>
      <c r="F318" s="161"/>
      <c r="G318" s="161"/>
      <c r="H318" s="161"/>
      <c r="I318" s="161"/>
      <c r="J318" s="161"/>
      <c r="K318" s="162"/>
      <c r="L318" s="412"/>
      <c r="M318" s="161"/>
      <c r="N318" s="413"/>
    </row>
    <row r="319" spans="1:14" ht="12.75">
      <c r="A319" s="411"/>
      <c r="B319" s="161"/>
      <c r="C319" s="161"/>
      <c r="D319" s="161"/>
      <c r="E319" s="161"/>
      <c r="F319" s="161"/>
      <c r="G319" s="161"/>
      <c r="H319" s="161"/>
      <c r="I319" s="161"/>
      <c r="J319" s="161"/>
      <c r="K319" s="162"/>
      <c r="L319" s="412"/>
      <c r="M319" s="161"/>
      <c r="N319" s="413"/>
    </row>
    <row r="320" spans="1:14" ht="12.75" customHeight="1">
      <c r="A320" s="411"/>
      <c r="B320" s="161"/>
      <c r="C320" s="161"/>
      <c r="D320" s="161"/>
      <c r="E320" s="161"/>
      <c r="F320" s="161"/>
      <c r="G320" s="161"/>
      <c r="H320" s="161"/>
      <c r="I320" s="161"/>
      <c r="J320" s="161"/>
      <c r="K320" s="162"/>
      <c r="L320" s="412"/>
      <c r="M320" s="161"/>
      <c r="N320" s="413"/>
    </row>
    <row r="321" spans="1:14" ht="12.75">
      <c r="A321" s="411"/>
      <c r="B321" s="161"/>
      <c r="C321" s="161"/>
      <c r="D321" s="161"/>
      <c r="E321" s="161"/>
      <c r="F321" s="161"/>
      <c r="G321" s="161"/>
      <c r="H321" s="161"/>
      <c r="I321" s="161"/>
      <c r="J321" s="161"/>
      <c r="K321" s="162"/>
      <c r="L321" s="412"/>
      <c r="M321" s="161"/>
      <c r="N321" s="413"/>
    </row>
    <row r="322" spans="1:14" ht="12.75">
      <c r="A322" s="411"/>
      <c r="B322" s="161"/>
      <c r="C322" s="161"/>
      <c r="D322" s="161"/>
      <c r="E322" s="161"/>
      <c r="F322" s="161"/>
      <c r="G322" s="161"/>
      <c r="H322" s="161"/>
      <c r="I322" s="161"/>
      <c r="J322" s="161"/>
      <c r="K322" s="162"/>
      <c r="L322" s="412"/>
      <c r="M322" s="161"/>
      <c r="N322" s="413"/>
    </row>
    <row r="323" spans="1:14" ht="12.75">
      <c r="A323" s="405"/>
      <c r="B323" s="406"/>
      <c r="C323" s="406"/>
      <c r="D323" s="406"/>
      <c r="E323" s="406"/>
      <c r="F323" s="406"/>
      <c r="G323" s="406"/>
      <c r="H323" s="406"/>
      <c r="I323" s="406"/>
      <c r="J323" s="406"/>
      <c r="K323" s="406"/>
      <c r="L323" s="407"/>
      <c r="M323" s="406"/>
      <c r="N323" s="408"/>
    </row>
    <row r="324" spans="1:14" ht="13.5" thickBot="1">
      <c r="A324" s="168" t="s">
        <v>1296</v>
      </c>
      <c r="B324" s="169"/>
      <c r="C324" s="170"/>
      <c r="D324" s="170"/>
      <c r="E324" s="170"/>
      <c r="F324" s="409"/>
      <c r="G324" s="409"/>
      <c r="H324" s="410"/>
      <c r="I324" s="410"/>
      <c r="J324" s="112"/>
      <c r="K324" s="113" t="s">
        <v>1000</v>
      </c>
      <c r="L324" s="113"/>
      <c r="M324" s="114"/>
      <c r="N324" s="115">
        <f>SUM(N313-N316)</f>
        <v>0</v>
      </c>
    </row>
    <row r="325" ht="12.75" customHeight="1" thickBot="1" thickTop="1"/>
    <row r="326" spans="1:14" ht="12.75" customHeight="1" thickTop="1">
      <c r="A326" s="424" t="s">
        <v>992</v>
      </c>
      <c r="B326" s="425"/>
      <c r="C326" s="426"/>
      <c r="D326" s="430">
        <f>D297+1</f>
        <v>11</v>
      </c>
      <c r="E326" s="431"/>
      <c r="F326" s="215" t="s">
        <v>997</v>
      </c>
      <c r="G326" s="216"/>
      <c r="H326" s="217"/>
      <c r="I326" s="416"/>
      <c r="J326" s="417"/>
      <c r="K326" s="417"/>
      <c r="L326" s="103" t="s">
        <v>993</v>
      </c>
      <c r="M326" s="418"/>
      <c r="N326" s="419"/>
    </row>
    <row r="327" spans="1:14" ht="12.75" customHeight="1">
      <c r="A327" s="427"/>
      <c r="B327" s="428"/>
      <c r="C327" s="429"/>
      <c r="D327" s="432"/>
      <c r="E327" s="433"/>
      <c r="F327" s="178" t="s">
        <v>996</v>
      </c>
      <c r="G327" s="178"/>
      <c r="H327" s="178"/>
      <c r="I327" s="407"/>
      <c r="J327" s="407"/>
      <c r="K327" s="407"/>
      <c r="L327" s="406"/>
      <c r="M327" s="101"/>
      <c r="N327" s="104"/>
    </row>
    <row r="328" spans="1:14" ht="12.75">
      <c r="A328" s="414" t="s">
        <v>1011</v>
      </c>
      <c r="B328" s="183"/>
      <c r="C328" s="183"/>
      <c r="D328" s="183"/>
      <c r="E328" s="183"/>
      <c r="F328" s="183"/>
      <c r="G328" s="183"/>
      <c r="H328" s="183"/>
      <c r="I328" s="183"/>
      <c r="J328" s="225"/>
      <c r="K328" s="83" t="s">
        <v>1006</v>
      </c>
      <c r="L328" s="90">
        <f>SUM(+IF(N329="Win",1,0)+IF(N330="Win",1,0)+IF(N331="win",1,0)+IF(N335="win",1,0))</f>
        <v>0</v>
      </c>
      <c r="M328" s="83" t="s">
        <v>1007</v>
      </c>
      <c r="N328" s="105">
        <f>SUM(+IF(N329="Loss",1,0)+IF(N330="Loss",1,0)+IF(N331="loss",1,0)+IF(N335="Loss",1,0))</f>
        <v>0</v>
      </c>
    </row>
    <row r="329" spans="1:14" ht="12.75">
      <c r="A329" s="106" t="s">
        <v>1009</v>
      </c>
      <c r="B329" s="434"/>
      <c r="C329" s="246"/>
      <c r="D329" s="247"/>
      <c r="E329" s="189" t="s">
        <v>1304</v>
      </c>
      <c r="F329" s="191"/>
      <c r="G329" s="85"/>
      <c r="H329" s="199" t="s">
        <v>1303</v>
      </c>
      <c r="I329" s="200"/>
      <c r="J329" s="85"/>
      <c r="K329" s="82" t="s">
        <v>1302</v>
      </c>
      <c r="L329" s="102">
        <f>IF(G329-J329&gt;300,"+5",IF(G329-J329&gt;=151,"+4",IF(G329-J329&gt;=101,"+3",IF(G329-J329&gt;=76,"+2",IF(G329-J329&gt;=51,"+1",0)))))</f>
        <v>0</v>
      </c>
      <c r="M329" s="82" t="s">
        <v>1010</v>
      </c>
      <c r="N329" s="107"/>
    </row>
    <row r="330" spans="1:14" ht="12.75">
      <c r="A330" s="106" t="s">
        <v>1009</v>
      </c>
      <c r="B330" s="434"/>
      <c r="C330" s="246"/>
      <c r="D330" s="247"/>
      <c r="E330" s="189" t="s">
        <v>1304</v>
      </c>
      <c r="F330" s="191"/>
      <c r="G330" s="85"/>
      <c r="H330" s="199" t="s">
        <v>1303</v>
      </c>
      <c r="I330" s="200"/>
      <c r="J330" s="85"/>
      <c r="K330" s="82" t="s">
        <v>1302</v>
      </c>
      <c r="L330" s="102">
        <f>IF(G330-J330&gt;300,"+5",IF(G330-J330&gt;=151,"+4",IF(G330-J330&gt;=101,"+3",IF(G330-J330&gt;=76,"+2",IF(G330-J330&gt;=51,"+1",0)))))</f>
        <v>0</v>
      </c>
      <c r="M330" s="82" t="s">
        <v>1010</v>
      </c>
      <c r="N330" s="107"/>
    </row>
    <row r="331" spans="1:14" ht="12.75">
      <c r="A331" s="106" t="s">
        <v>1009</v>
      </c>
      <c r="B331" s="434"/>
      <c r="C331" s="246"/>
      <c r="D331" s="247"/>
      <c r="E331" s="189" t="s">
        <v>1304</v>
      </c>
      <c r="F331" s="191"/>
      <c r="G331" s="85"/>
      <c r="H331" s="199" t="s">
        <v>1303</v>
      </c>
      <c r="I331" s="200"/>
      <c r="J331" s="85"/>
      <c r="K331" s="82" t="s">
        <v>1302</v>
      </c>
      <c r="L331" s="102">
        <f>IF(G331-J331&gt;300,"+5",IF(G331-J331&gt;=151,"+4",IF(G331-J331&gt;=101,"+3",IF(G331-J331&gt;=76,"+2",IF(G331-J331&gt;=51,"+1",0)))))</f>
        <v>0</v>
      </c>
      <c r="M331" s="82" t="s">
        <v>1010</v>
      </c>
      <c r="N331" s="107"/>
    </row>
    <row r="332" spans="1:14" ht="12.75">
      <c r="A332" s="201" t="s">
        <v>3</v>
      </c>
      <c r="B332" s="202"/>
      <c r="C332" s="202"/>
      <c r="D332" s="202"/>
      <c r="E332" s="202"/>
      <c r="F332" s="202"/>
      <c r="G332" s="51"/>
      <c r="H332" s="178" t="s">
        <v>0</v>
      </c>
      <c r="I332" s="164"/>
      <c r="J332" s="164"/>
      <c r="K332" s="164"/>
      <c r="L332" s="164"/>
      <c r="M332" s="116"/>
      <c r="N332" s="108"/>
    </row>
    <row r="333" spans="1:14" ht="12.75">
      <c r="A333" s="186" t="s">
        <v>1297</v>
      </c>
      <c r="B333" s="164"/>
      <c r="C333" s="164"/>
      <c r="D333" s="86"/>
      <c r="E333" s="51"/>
      <c r="F333" s="51"/>
      <c r="G333" s="51"/>
      <c r="H333" s="178" t="s">
        <v>1</v>
      </c>
      <c r="I333" s="164"/>
      <c r="J333" s="164"/>
      <c r="K333" s="164"/>
      <c r="L333" s="164"/>
      <c r="M333" s="403"/>
      <c r="N333" s="404"/>
    </row>
    <row r="334" spans="1:14" ht="12.75">
      <c r="A334" s="186" t="s">
        <v>1298</v>
      </c>
      <c r="B334" s="164"/>
      <c r="C334" s="164"/>
      <c r="D334" s="86"/>
      <c r="E334" s="51"/>
      <c r="F334" s="51"/>
      <c r="G334" s="51"/>
      <c r="H334" s="51"/>
      <c r="I334" s="51"/>
      <c r="J334" s="51"/>
      <c r="K334" s="51"/>
      <c r="L334" s="51"/>
      <c r="M334" s="51"/>
      <c r="N334" s="108"/>
    </row>
    <row r="335" spans="1:14" ht="12.75">
      <c r="A335" s="119" t="s">
        <v>1307</v>
      </c>
      <c r="B335" s="434"/>
      <c r="C335" s="246"/>
      <c r="D335" s="247"/>
      <c r="E335" s="189" t="s">
        <v>1304</v>
      </c>
      <c r="F335" s="191"/>
      <c r="G335" s="85"/>
      <c r="H335" s="199" t="s">
        <v>1303</v>
      </c>
      <c r="I335" s="200"/>
      <c r="J335" s="85"/>
      <c r="K335" s="82" t="s">
        <v>1302</v>
      </c>
      <c r="L335" s="102">
        <f>IF(G335-J335&gt;300,"+5",IF(G335-J335&gt;=151,"+4",IF(G335-J335&gt;=101,"+3",IF(G335-J335&gt;=76,"+2",IF(G335-J335&gt;=51,"+1",0)))))</f>
        <v>0</v>
      </c>
      <c r="M335" s="82" t="s">
        <v>1010</v>
      </c>
      <c r="N335" s="107"/>
    </row>
    <row r="336" spans="1:14" ht="12.75">
      <c r="A336" s="153" t="s">
        <v>4</v>
      </c>
      <c r="B336" s="187"/>
      <c r="C336" s="187"/>
      <c r="D336" s="187"/>
      <c r="E336" s="187"/>
      <c r="F336" s="188"/>
      <c r="G336" s="189" t="s">
        <v>1299</v>
      </c>
      <c r="H336" s="190"/>
      <c r="I336" s="190"/>
      <c r="J336" s="190"/>
      <c r="K336" s="190"/>
      <c r="L336" s="191"/>
      <c r="M336" s="85"/>
      <c r="N336" s="120"/>
    </row>
    <row r="337" spans="1:14" ht="12.75">
      <c r="A337" s="192" t="s">
        <v>738</v>
      </c>
      <c r="B337" s="193"/>
      <c r="C337" s="79" t="s">
        <v>739</v>
      </c>
      <c r="D337" s="86"/>
      <c r="E337" s="80" t="s">
        <v>740</v>
      </c>
      <c r="F337" s="86"/>
      <c r="G337" s="80" t="s">
        <v>741</v>
      </c>
      <c r="H337" s="86"/>
      <c r="I337" s="80" t="s">
        <v>742</v>
      </c>
      <c r="J337" s="117"/>
      <c r="K337" s="182" t="s">
        <v>748</v>
      </c>
      <c r="L337" s="161"/>
      <c r="M337" s="162"/>
      <c r="N337" s="110"/>
    </row>
    <row r="338" spans="1:14" ht="12.75">
      <c r="A338" s="194"/>
      <c r="B338" s="195"/>
      <c r="C338" s="75" t="s">
        <v>743</v>
      </c>
      <c r="D338" s="87"/>
      <c r="E338" s="81" t="s">
        <v>744</v>
      </c>
      <c r="F338" s="87"/>
      <c r="G338" s="81" t="s">
        <v>745</v>
      </c>
      <c r="H338" s="87"/>
      <c r="I338" s="81" t="s">
        <v>746</v>
      </c>
      <c r="J338" s="100"/>
      <c r="K338" s="178" t="s">
        <v>756</v>
      </c>
      <c r="L338" s="178"/>
      <c r="M338" s="178"/>
      <c r="N338" s="110"/>
    </row>
    <row r="339" spans="1:14" ht="12.75">
      <c r="A339" s="179" t="s">
        <v>998</v>
      </c>
      <c r="B339" s="161"/>
      <c r="C339" s="162"/>
      <c r="D339" s="100"/>
      <c r="E339" s="178" t="s">
        <v>999</v>
      </c>
      <c r="F339" s="164"/>
      <c r="G339" s="164"/>
      <c r="H339" s="164"/>
      <c r="I339" s="164"/>
      <c r="J339" s="118">
        <f>IF(D337&gt;0,VLOOKUP(SUM(D337+F337+H337+J337+D338+F338+H338+J338),ShardsFound,2),0)+D339</f>
        <v>0</v>
      </c>
      <c r="K339" s="182" t="s">
        <v>524</v>
      </c>
      <c r="L339" s="162"/>
      <c r="M339" s="87"/>
      <c r="N339" s="109"/>
    </row>
    <row r="340" spans="1:14" ht="12.75">
      <c r="A340" s="153" t="s">
        <v>758</v>
      </c>
      <c r="B340" s="183"/>
      <c r="C340" s="183"/>
      <c r="D340" s="183"/>
      <c r="E340" s="184"/>
      <c r="F340" s="185"/>
      <c r="G340" s="51"/>
      <c r="H340" s="51"/>
      <c r="I340" s="51"/>
      <c r="J340" s="51"/>
      <c r="K340" s="78" t="s">
        <v>752</v>
      </c>
      <c r="L340" s="78"/>
      <c r="M340" s="78"/>
      <c r="N340" s="111">
        <f>IF(M339&gt;0,VLOOKUP(M339,Shards,VLOOKUP(M336,Warriors,2)),0)</f>
        <v>0</v>
      </c>
    </row>
    <row r="341" spans="1:14" ht="12.75">
      <c r="A341" s="179" t="s">
        <v>757</v>
      </c>
      <c r="B341" s="161"/>
      <c r="C341" s="161"/>
      <c r="D341" s="161"/>
      <c r="E341" s="453"/>
      <c r="F341" s="162"/>
      <c r="G341" s="178" t="s">
        <v>1308</v>
      </c>
      <c r="H341" s="178"/>
      <c r="I341" s="178"/>
      <c r="J341" s="100"/>
      <c r="K341" s="178" t="s">
        <v>6</v>
      </c>
      <c r="L341" s="164"/>
      <c r="M341" s="164"/>
      <c r="N341" s="151">
        <f>IF(I327="Able to Loot",IF(M332="No",D333*E341,0),0)</f>
        <v>0</v>
      </c>
    </row>
    <row r="342" spans="1:14" ht="12.75">
      <c r="A342" s="153" t="s">
        <v>749</v>
      </c>
      <c r="B342" s="180"/>
      <c r="C342" s="180"/>
      <c r="D342" s="180"/>
      <c r="E342" s="180"/>
      <c r="F342" s="181"/>
      <c r="G342" s="51"/>
      <c r="H342" s="51"/>
      <c r="I342" s="51"/>
      <c r="J342" s="51"/>
      <c r="K342" s="178" t="s">
        <v>755</v>
      </c>
      <c r="L342" s="178"/>
      <c r="M342" s="178"/>
      <c r="N342" s="111">
        <f>SUM(N340+N337+N341+N338)</f>
        <v>0</v>
      </c>
    </row>
    <row r="343" spans="1:14" ht="12.75">
      <c r="A343" s="179" t="s">
        <v>751</v>
      </c>
      <c r="B343" s="161"/>
      <c r="C343" s="161"/>
      <c r="D343" s="162"/>
      <c r="E343" s="86"/>
      <c r="F343" s="178" t="s">
        <v>754</v>
      </c>
      <c r="G343" s="178"/>
      <c r="H343" s="178"/>
      <c r="I343" s="87"/>
      <c r="J343" s="51"/>
      <c r="K343" s="51"/>
      <c r="L343" s="51"/>
      <c r="M343" s="51"/>
      <c r="N343" s="108"/>
    </row>
    <row r="344" spans="1:14" ht="12.75">
      <c r="A344" s="179" t="s">
        <v>750</v>
      </c>
      <c r="B344" s="161"/>
      <c r="C344" s="161"/>
      <c r="D344" s="162"/>
      <c r="E344" s="88"/>
      <c r="F344" s="51"/>
      <c r="G344" s="51"/>
      <c r="H344" s="51"/>
      <c r="I344" s="51"/>
      <c r="J344" s="51"/>
      <c r="K344" s="51"/>
      <c r="L344" s="51"/>
      <c r="M344" s="51"/>
      <c r="N344" s="108"/>
    </row>
    <row r="345" spans="1:14" ht="12.75">
      <c r="A345" s="163" t="s">
        <v>753</v>
      </c>
      <c r="B345" s="178"/>
      <c r="C345" s="178"/>
      <c r="D345" s="164"/>
      <c r="E345" s="87"/>
      <c r="F345" s="178" t="s">
        <v>5</v>
      </c>
      <c r="G345" s="164"/>
      <c r="H345" s="164"/>
      <c r="I345" s="164"/>
      <c r="J345" s="40">
        <f>SUM('Additional Members'!F$89+'Additional Members'!F$98+'Additional Members'!F$107+'Additional Members'!F$123+'Additional Members'!F$132)</f>
        <v>0</v>
      </c>
      <c r="K345" s="178" t="s">
        <v>1300</v>
      </c>
      <c r="L345" s="159"/>
      <c r="M345" s="159"/>
      <c r="N345" s="111">
        <f>SUM(E343+E344+E345+I343)</f>
        <v>0</v>
      </c>
    </row>
    <row r="346" spans="1:14" ht="12.75">
      <c r="A346" s="414" t="s">
        <v>532</v>
      </c>
      <c r="B346" s="183"/>
      <c r="C346" s="183"/>
      <c r="D346" s="183"/>
      <c r="E346" s="183"/>
      <c r="F346" s="183"/>
      <c r="G346" s="183"/>
      <c r="H346" s="183"/>
      <c r="I346" s="183"/>
      <c r="J346" s="183"/>
      <c r="K346" s="225"/>
      <c r="L346" s="415" t="s">
        <v>1001</v>
      </c>
      <c r="M346" s="161"/>
      <c r="N346" s="413"/>
    </row>
    <row r="347" spans="1:14" ht="12.75">
      <c r="A347" s="411"/>
      <c r="B347" s="161"/>
      <c r="C347" s="161"/>
      <c r="D347" s="161"/>
      <c r="E347" s="161"/>
      <c r="F347" s="161"/>
      <c r="G347" s="161"/>
      <c r="H347" s="161"/>
      <c r="I347" s="161"/>
      <c r="J347" s="161"/>
      <c r="K347" s="162"/>
      <c r="L347" s="412"/>
      <c r="M347" s="161"/>
      <c r="N347" s="413"/>
    </row>
    <row r="348" spans="1:14" ht="12.75">
      <c r="A348" s="411"/>
      <c r="B348" s="161"/>
      <c r="C348" s="161"/>
      <c r="D348" s="161"/>
      <c r="E348" s="161"/>
      <c r="F348" s="161"/>
      <c r="G348" s="161"/>
      <c r="H348" s="161"/>
      <c r="I348" s="161"/>
      <c r="J348" s="161"/>
      <c r="K348" s="162"/>
      <c r="L348" s="412"/>
      <c r="M348" s="161"/>
      <c r="N348" s="413"/>
    </row>
    <row r="349" spans="1:14" ht="12.75">
      <c r="A349" s="411"/>
      <c r="B349" s="161"/>
      <c r="C349" s="161"/>
      <c r="D349" s="161"/>
      <c r="E349" s="161"/>
      <c r="F349" s="161"/>
      <c r="G349" s="161"/>
      <c r="H349" s="161"/>
      <c r="I349" s="161"/>
      <c r="J349" s="161"/>
      <c r="K349" s="162"/>
      <c r="L349" s="412"/>
      <c r="M349" s="161"/>
      <c r="N349" s="413"/>
    </row>
    <row r="350" spans="1:14" ht="12.75">
      <c r="A350" s="411"/>
      <c r="B350" s="161"/>
      <c r="C350" s="161"/>
      <c r="D350" s="161"/>
      <c r="E350" s="161"/>
      <c r="F350" s="161"/>
      <c r="G350" s="161"/>
      <c r="H350" s="161"/>
      <c r="I350" s="161"/>
      <c r="J350" s="161"/>
      <c r="K350" s="162"/>
      <c r="L350" s="412"/>
      <c r="M350" s="161"/>
      <c r="N350" s="413"/>
    </row>
    <row r="351" spans="1:14" ht="12.75">
      <c r="A351" s="411"/>
      <c r="B351" s="161"/>
      <c r="C351" s="161"/>
      <c r="D351" s="161"/>
      <c r="E351" s="161"/>
      <c r="F351" s="161"/>
      <c r="G351" s="161"/>
      <c r="H351" s="161"/>
      <c r="I351" s="161"/>
      <c r="J351" s="161"/>
      <c r="K351" s="162"/>
      <c r="L351" s="412"/>
      <c r="M351" s="161"/>
      <c r="N351" s="413"/>
    </row>
    <row r="352" spans="1:14" ht="12.75">
      <c r="A352" s="405"/>
      <c r="B352" s="406"/>
      <c r="C352" s="406"/>
      <c r="D352" s="406"/>
      <c r="E352" s="406"/>
      <c r="F352" s="406"/>
      <c r="G352" s="406"/>
      <c r="H352" s="406"/>
      <c r="I352" s="406"/>
      <c r="J352" s="406"/>
      <c r="K352" s="406"/>
      <c r="L352" s="407"/>
      <c r="M352" s="406"/>
      <c r="N352" s="408"/>
    </row>
    <row r="353" spans="1:14" ht="13.5" thickBot="1">
      <c r="A353" s="168" t="s">
        <v>1296</v>
      </c>
      <c r="B353" s="169"/>
      <c r="C353" s="170"/>
      <c r="D353" s="170"/>
      <c r="E353" s="170"/>
      <c r="F353" s="409"/>
      <c r="G353" s="409"/>
      <c r="H353" s="410"/>
      <c r="I353" s="410"/>
      <c r="J353" s="112"/>
      <c r="K353" s="113" t="s">
        <v>1000</v>
      </c>
      <c r="L353" s="113"/>
      <c r="M353" s="114"/>
      <c r="N353" s="115">
        <f>SUM(N342-N345)</f>
        <v>0</v>
      </c>
    </row>
    <row r="354" spans="1:14" ht="15.75" thickTop="1">
      <c r="A354" s="67" t="s">
        <v>1003</v>
      </c>
      <c r="B354" s="420">
        <f>SUBSTITUTE(Heroes!F$1,0,"")</f>
      </c>
      <c r="C354" s="421"/>
      <c r="D354" s="421"/>
      <c r="E354" s="422"/>
      <c r="F354" s="422"/>
      <c r="G354" s="422"/>
      <c r="H354" s="422"/>
      <c r="I354" s="422"/>
      <c r="J354" s="422"/>
      <c r="K354" s="422"/>
      <c r="L354" s="422"/>
      <c r="M354" s="422"/>
      <c r="N354" s="423"/>
    </row>
    <row r="355" ht="13.5" thickBot="1"/>
    <row r="356" spans="1:14" ht="12.75" customHeight="1" thickTop="1">
      <c r="A356" s="424" t="s">
        <v>992</v>
      </c>
      <c r="B356" s="425"/>
      <c r="C356" s="426"/>
      <c r="D356" s="430">
        <f>D297+2</f>
        <v>12</v>
      </c>
      <c r="E356" s="431"/>
      <c r="F356" s="215" t="s">
        <v>997</v>
      </c>
      <c r="G356" s="216"/>
      <c r="H356" s="217"/>
      <c r="I356" s="416"/>
      <c r="J356" s="417"/>
      <c r="K356" s="417"/>
      <c r="L356" s="103" t="s">
        <v>993</v>
      </c>
      <c r="M356" s="418"/>
      <c r="N356" s="419"/>
    </row>
    <row r="357" spans="1:14" ht="12.75" customHeight="1">
      <c r="A357" s="427"/>
      <c r="B357" s="428"/>
      <c r="C357" s="429"/>
      <c r="D357" s="432"/>
      <c r="E357" s="433"/>
      <c r="F357" s="178" t="s">
        <v>996</v>
      </c>
      <c r="G357" s="178"/>
      <c r="H357" s="178"/>
      <c r="I357" s="407"/>
      <c r="J357" s="407"/>
      <c r="K357" s="407"/>
      <c r="L357" s="406"/>
      <c r="M357" s="101"/>
      <c r="N357" s="104"/>
    </row>
    <row r="358" spans="1:14" ht="12.75">
      <c r="A358" s="414" t="s">
        <v>1011</v>
      </c>
      <c r="B358" s="183"/>
      <c r="C358" s="183"/>
      <c r="D358" s="183"/>
      <c r="E358" s="183"/>
      <c r="F358" s="183"/>
      <c r="G358" s="183"/>
      <c r="H358" s="183"/>
      <c r="I358" s="183"/>
      <c r="J358" s="225"/>
      <c r="K358" s="83" t="s">
        <v>1006</v>
      </c>
      <c r="L358" s="90">
        <f>SUM(+IF(N359="Win",1,0)+IF(N360="Win",1,0)+IF(N361="win",1,0)+IF(N365="win",1,0))</f>
        <v>0</v>
      </c>
      <c r="M358" s="83" t="s">
        <v>1007</v>
      </c>
      <c r="N358" s="105">
        <f>SUM(+IF(N359="Loss",1,0)+IF(N360="Loss",1,0)+IF(N361="loss",1,0)+IF(N365="Loss",1,0))</f>
        <v>0</v>
      </c>
    </row>
    <row r="359" spans="1:14" ht="12.75">
      <c r="A359" s="106" t="s">
        <v>1009</v>
      </c>
      <c r="B359" s="434"/>
      <c r="C359" s="246"/>
      <c r="D359" s="247"/>
      <c r="E359" s="189" t="s">
        <v>1304</v>
      </c>
      <c r="F359" s="191"/>
      <c r="G359" s="85"/>
      <c r="H359" s="199" t="s">
        <v>1303</v>
      </c>
      <c r="I359" s="200"/>
      <c r="J359" s="85"/>
      <c r="K359" s="82" t="s">
        <v>1302</v>
      </c>
      <c r="L359" s="102">
        <f>IF(G359-J359&gt;300,"+5",IF(G359-J359&gt;=151,"+4",IF(G359-J359&gt;=101,"+3",IF(G359-J359&gt;=76,"+2",IF(G359-J359&gt;=51,"+1",0)))))</f>
        <v>0</v>
      </c>
      <c r="M359" s="82" t="s">
        <v>1010</v>
      </c>
      <c r="N359" s="107"/>
    </row>
    <row r="360" spans="1:14" ht="12.75">
      <c r="A360" s="106" t="s">
        <v>1009</v>
      </c>
      <c r="B360" s="434"/>
      <c r="C360" s="246"/>
      <c r="D360" s="247"/>
      <c r="E360" s="189" t="s">
        <v>1304</v>
      </c>
      <c r="F360" s="191"/>
      <c r="G360" s="85"/>
      <c r="H360" s="199" t="s">
        <v>1303</v>
      </c>
      <c r="I360" s="200"/>
      <c r="J360" s="85"/>
      <c r="K360" s="82" t="s">
        <v>1302</v>
      </c>
      <c r="L360" s="102">
        <f>IF(G360-J360&gt;300,"+5",IF(G360-J360&gt;=151,"+4",IF(G360-J360&gt;=101,"+3",IF(G360-J360&gt;=76,"+2",IF(G360-J360&gt;=51,"+1",0)))))</f>
        <v>0</v>
      </c>
      <c r="M360" s="82" t="s">
        <v>1010</v>
      </c>
      <c r="N360" s="107"/>
    </row>
    <row r="361" spans="1:14" ht="12.75">
      <c r="A361" s="106" t="s">
        <v>1009</v>
      </c>
      <c r="B361" s="434"/>
      <c r="C361" s="246"/>
      <c r="D361" s="247"/>
      <c r="E361" s="189" t="s">
        <v>1304</v>
      </c>
      <c r="F361" s="191"/>
      <c r="G361" s="85"/>
      <c r="H361" s="199" t="s">
        <v>1303</v>
      </c>
      <c r="I361" s="200"/>
      <c r="J361" s="85"/>
      <c r="K361" s="82" t="s">
        <v>1302</v>
      </c>
      <c r="L361" s="102">
        <f>IF(G361-J361&gt;300,"+5",IF(G361-J361&gt;=151,"+4",IF(G361-J361&gt;=101,"+3",IF(G361-J361&gt;=76,"+2",IF(G361-J361&gt;=51,"+1",0)))))</f>
        <v>0</v>
      </c>
      <c r="M361" s="82" t="s">
        <v>1010</v>
      </c>
      <c r="N361" s="107"/>
    </row>
    <row r="362" spans="1:14" ht="12.75">
      <c r="A362" s="201" t="s">
        <v>3</v>
      </c>
      <c r="B362" s="202"/>
      <c r="C362" s="202"/>
      <c r="D362" s="202"/>
      <c r="E362" s="202"/>
      <c r="F362" s="202"/>
      <c r="G362" s="51"/>
      <c r="H362" s="178" t="s">
        <v>0</v>
      </c>
      <c r="I362" s="164"/>
      <c r="J362" s="164"/>
      <c r="K362" s="164"/>
      <c r="L362" s="164"/>
      <c r="M362" s="116"/>
      <c r="N362" s="108"/>
    </row>
    <row r="363" spans="1:14" ht="12.75">
      <c r="A363" s="186" t="s">
        <v>1297</v>
      </c>
      <c r="B363" s="164"/>
      <c r="C363" s="164"/>
      <c r="D363" s="86"/>
      <c r="E363" s="51"/>
      <c r="F363" s="51"/>
      <c r="G363" s="51"/>
      <c r="H363" s="178" t="s">
        <v>1</v>
      </c>
      <c r="I363" s="164"/>
      <c r="J363" s="164"/>
      <c r="K363" s="164"/>
      <c r="L363" s="164"/>
      <c r="M363" s="403"/>
      <c r="N363" s="404"/>
    </row>
    <row r="364" spans="1:14" ht="12.75">
      <c r="A364" s="186" t="s">
        <v>1298</v>
      </c>
      <c r="B364" s="164"/>
      <c r="C364" s="164"/>
      <c r="D364" s="86"/>
      <c r="E364" s="51"/>
      <c r="F364" s="51"/>
      <c r="G364" s="51"/>
      <c r="H364" s="51"/>
      <c r="I364" s="51"/>
      <c r="J364" s="51"/>
      <c r="K364" s="51"/>
      <c r="L364" s="51"/>
      <c r="M364" s="51"/>
      <c r="N364" s="108"/>
    </row>
    <row r="365" spans="1:14" ht="12.75">
      <c r="A365" s="119" t="s">
        <v>1307</v>
      </c>
      <c r="B365" s="434"/>
      <c r="C365" s="246"/>
      <c r="D365" s="247"/>
      <c r="E365" s="189" t="s">
        <v>1304</v>
      </c>
      <c r="F365" s="191"/>
      <c r="G365" s="85"/>
      <c r="H365" s="199" t="s">
        <v>1303</v>
      </c>
      <c r="I365" s="200"/>
      <c r="J365" s="85"/>
      <c r="K365" s="82" t="s">
        <v>1302</v>
      </c>
      <c r="L365" s="102">
        <f>IF(G365-J365&gt;300,"+5",IF(G365-J365&gt;=151,"+4",IF(G365-J365&gt;=101,"+3",IF(G365-J365&gt;=76,"+2",IF(G365-J365&gt;=51,"+1",0)))))</f>
        <v>0</v>
      </c>
      <c r="M365" s="82" t="s">
        <v>1010</v>
      </c>
      <c r="N365" s="107"/>
    </row>
    <row r="366" spans="1:14" ht="12.75">
      <c r="A366" s="153" t="s">
        <v>4</v>
      </c>
      <c r="B366" s="187"/>
      <c r="C366" s="187"/>
      <c r="D366" s="187"/>
      <c r="E366" s="187"/>
      <c r="F366" s="188"/>
      <c r="G366" s="189" t="s">
        <v>1299</v>
      </c>
      <c r="H366" s="190"/>
      <c r="I366" s="190"/>
      <c r="J366" s="190"/>
      <c r="K366" s="190"/>
      <c r="L366" s="191"/>
      <c r="M366" s="85"/>
      <c r="N366" s="120"/>
    </row>
    <row r="367" spans="1:14" ht="12.75">
      <c r="A367" s="192" t="s">
        <v>738</v>
      </c>
      <c r="B367" s="193"/>
      <c r="C367" s="79" t="s">
        <v>739</v>
      </c>
      <c r="D367" s="86"/>
      <c r="E367" s="80" t="s">
        <v>740</v>
      </c>
      <c r="F367" s="86"/>
      <c r="G367" s="80" t="s">
        <v>741</v>
      </c>
      <c r="H367" s="86"/>
      <c r="I367" s="80" t="s">
        <v>742</v>
      </c>
      <c r="J367" s="117"/>
      <c r="K367" s="182" t="s">
        <v>748</v>
      </c>
      <c r="L367" s="161"/>
      <c r="M367" s="162"/>
      <c r="N367" s="110"/>
    </row>
    <row r="368" spans="1:14" ht="12.75">
      <c r="A368" s="194"/>
      <c r="B368" s="195"/>
      <c r="C368" s="75" t="s">
        <v>743</v>
      </c>
      <c r="D368" s="87"/>
      <c r="E368" s="81" t="s">
        <v>744</v>
      </c>
      <c r="F368" s="87"/>
      <c r="G368" s="81" t="s">
        <v>745</v>
      </c>
      <c r="H368" s="87"/>
      <c r="I368" s="81" t="s">
        <v>746</v>
      </c>
      <c r="J368" s="100"/>
      <c r="K368" s="178" t="s">
        <v>756</v>
      </c>
      <c r="L368" s="178"/>
      <c r="M368" s="178"/>
      <c r="N368" s="110"/>
    </row>
    <row r="369" spans="1:14" ht="12.75">
      <c r="A369" s="179" t="s">
        <v>998</v>
      </c>
      <c r="B369" s="161"/>
      <c r="C369" s="162"/>
      <c r="D369" s="100"/>
      <c r="E369" s="178" t="s">
        <v>999</v>
      </c>
      <c r="F369" s="164"/>
      <c r="G369" s="164"/>
      <c r="H369" s="164"/>
      <c r="I369" s="164"/>
      <c r="J369" s="118">
        <f>IF(D367&gt;0,VLOOKUP(SUM(D367+F367+H367+J367+D368+F368+H368+J368),ShardsFound,2),0)+D369</f>
        <v>0</v>
      </c>
      <c r="K369" s="182" t="s">
        <v>524</v>
      </c>
      <c r="L369" s="162"/>
      <c r="M369" s="87"/>
      <c r="N369" s="109"/>
    </row>
    <row r="370" spans="1:14" ht="12.75">
      <c r="A370" s="153" t="s">
        <v>758</v>
      </c>
      <c r="B370" s="183"/>
      <c r="C370" s="183"/>
      <c r="D370" s="183"/>
      <c r="E370" s="184"/>
      <c r="F370" s="185"/>
      <c r="G370" s="51"/>
      <c r="H370" s="51"/>
      <c r="I370" s="51"/>
      <c r="J370" s="51"/>
      <c r="K370" s="78" t="s">
        <v>752</v>
      </c>
      <c r="L370" s="78"/>
      <c r="M370" s="78"/>
      <c r="N370" s="111">
        <f>IF(M369&gt;0,VLOOKUP(M369,Shards,VLOOKUP(M366,Warriors,2)),0)</f>
        <v>0</v>
      </c>
    </row>
    <row r="371" spans="1:14" ht="12.75">
      <c r="A371" s="179" t="s">
        <v>757</v>
      </c>
      <c r="B371" s="161"/>
      <c r="C371" s="161"/>
      <c r="D371" s="161"/>
      <c r="E371" s="453"/>
      <c r="F371" s="162"/>
      <c r="G371" s="178" t="s">
        <v>1308</v>
      </c>
      <c r="H371" s="178"/>
      <c r="I371" s="178"/>
      <c r="J371" s="100"/>
      <c r="K371" s="178" t="s">
        <v>6</v>
      </c>
      <c r="L371" s="164"/>
      <c r="M371" s="164"/>
      <c r="N371" s="151">
        <f>IF(I357="Able to Loot",IF(M362="No",D363*E371,0),0)</f>
        <v>0</v>
      </c>
    </row>
    <row r="372" spans="1:14" ht="12.75">
      <c r="A372" s="153" t="s">
        <v>749</v>
      </c>
      <c r="B372" s="180"/>
      <c r="C372" s="180"/>
      <c r="D372" s="180"/>
      <c r="E372" s="180"/>
      <c r="F372" s="181"/>
      <c r="G372" s="51"/>
      <c r="H372" s="51"/>
      <c r="I372" s="51"/>
      <c r="J372" s="51"/>
      <c r="K372" s="178" t="s">
        <v>755</v>
      </c>
      <c r="L372" s="178"/>
      <c r="M372" s="178"/>
      <c r="N372" s="111">
        <f>SUM(N370+N367+N371+N368)</f>
        <v>0</v>
      </c>
    </row>
    <row r="373" spans="1:14" ht="12.75">
      <c r="A373" s="179" t="s">
        <v>751</v>
      </c>
      <c r="B373" s="161"/>
      <c r="C373" s="161"/>
      <c r="D373" s="162"/>
      <c r="E373" s="86"/>
      <c r="F373" s="178" t="s">
        <v>754</v>
      </c>
      <c r="G373" s="178"/>
      <c r="H373" s="178"/>
      <c r="I373" s="87"/>
      <c r="J373" s="51"/>
      <c r="K373" s="51"/>
      <c r="L373" s="51"/>
      <c r="M373" s="51"/>
      <c r="N373" s="108"/>
    </row>
    <row r="374" spans="1:14" ht="12.75">
      <c r="A374" s="179" t="s">
        <v>750</v>
      </c>
      <c r="B374" s="161"/>
      <c r="C374" s="161"/>
      <c r="D374" s="162"/>
      <c r="E374" s="88"/>
      <c r="F374" s="51"/>
      <c r="G374" s="51"/>
      <c r="H374" s="51"/>
      <c r="I374" s="51"/>
      <c r="J374" s="51"/>
      <c r="K374" s="51"/>
      <c r="L374" s="51"/>
      <c r="M374" s="51"/>
      <c r="N374" s="108"/>
    </row>
    <row r="375" spans="1:14" ht="12.75">
      <c r="A375" s="163" t="s">
        <v>753</v>
      </c>
      <c r="B375" s="178"/>
      <c r="C375" s="178"/>
      <c r="D375" s="164"/>
      <c r="E375" s="87"/>
      <c r="F375" s="178" t="s">
        <v>5</v>
      </c>
      <c r="G375" s="164"/>
      <c r="H375" s="164"/>
      <c r="I375" s="164"/>
      <c r="J375" s="40">
        <f>SUM('Additional Members'!F$89+'Additional Members'!F$98+'Additional Members'!F$107+'Additional Members'!F$123+'Additional Members'!F$132)</f>
        <v>0</v>
      </c>
      <c r="K375" s="178" t="s">
        <v>1300</v>
      </c>
      <c r="L375" s="159"/>
      <c r="M375" s="159"/>
      <c r="N375" s="111">
        <f>SUM(E373+E374+E375+I373)</f>
        <v>0</v>
      </c>
    </row>
    <row r="376" spans="1:14" ht="12.75">
      <c r="A376" s="414" t="s">
        <v>532</v>
      </c>
      <c r="B376" s="183"/>
      <c r="C376" s="183"/>
      <c r="D376" s="183"/>
      <c r="E376" s="183"/>
      <c r="F376" s="183"/>
      <c r="G376" s="183"/>
      <c r="H376" s="183"/>
      <c r="I376" s="183"/>
      <c r="J376" s="183"/>
      <c r="K376" s="225"/>
      <c r="L376" s="415" t="s">
        <v>1001</v>
      </c>
      <c r="M376" s="161"/>
      <c r="N376" s="413"/>
    </row>
    <row r="377" spans="1:14" ht="12.75">
      <c r="A377" s="411"/>
      <c r="B377" s="161"/>
      <c r="C377" s="161"/>
      <c r="D377" s="161"/>
      <c r="E377" s="161"/>
      <c r="F377" s="161"/>
      <c r="G377" s="161"/>
      <c r="H377" s="161"/>
      <c r="I377" s="161"/>
      <c r="J377" s="161"/>
      <c r="K377" s="162"/>
      <c r="L377" s="412"/>
      <c r="M377" s="161"/>
      <c r="N377" s="413"/>
    </row>
    <row r="378" spans="1:14" ht="12.75">
      <c r="A378" s="411"/>
      <c r="B378" s="161"/>
      <c r="C378" s="161"/>
      <c r="D378" s="161"/>
      <c r="E378" s="161"/>
      <c r="F378" s="161"/>
      <c r="G378" s="161"/>
      <c r="H378" s="161"/>
      <c r="I378" s="161"/>
      <c r="J378" s="161"/>
      <c r="K378" s="162"/>
      <c r="L378" s="412"/>
      <c r="M378" s="161"/>
      <c r="N378" s="413"/>
    </row>
    <row r="379" spans="1:14" ht="12.75" customHeight="1">
      <c r="A379" s="411"/>
      <c r="B379" s="161"/>
      <c r="C379" s="161"/>
      <c r="D379" s="161"/>
      <c r="E379" s="161"/>
      <c r="F379" s="161"/>
      <c r="G379" s="161"/>
      <c r="H379" s="161"/>
      <c r="I379" s="161"/>
      <c r="J379" s="161"/>
      <c r="K379" s="162"/>
      <c r="L379" s="412"/>
      <c r="M379" s="161"/>
      <c r="N379" s="413"/>
    </row>
    <row r="380" spans="1:14" ht="12.75">
      <c r="A380" s="411"/>
      <c r="B380" s="161"/>
      <c r="C380" s="161"/>
      <c r="D380" s="161"/>
      <c r="E380" s="161"/>
      <c r="F380" s="161"/>
      <c r="G380" s="161"/>
      <c r="H380" s="161"/>
      <c r="I380" s="161"/>
      <c r="J380" s="161"/>
      <c r="K380" s="162"/>
      <c r="L380" s="412"/>
      <c r="M380" s="161"/>
      <c r="N380" s="413"/>
    </row>
    <row r="381" spans="1:14" ht="12.75">
      <c r="A381" s="411"/>
      <c r="B381" s="161"/>
      <c r="C381" s="161"/>
      <c r="D381" s="161"/>
      <c r="E381" s="161"/>
      <c r="F381" s="161"/>
      <c r="G381" s="161"/>
      <c r="H381" s="161"/>
      <c r="I381" s="161"/>
      <c r="J381" s="161"/>
      <c r="K381" s="162"/>
      <c r="L381" s="412"/>
      <c r="M381" s="161"/>
      <c r="N381" s="413"/>
    </row>
    <row r="382" spans="1:14" ht="12.75">
      <c r="A382" s="405"/>
      <c r="B382" s="406"/>
      <c r="C382" s="406"/>
      <c r="D382" s="406"/>
      <c r="E382" s="406"/>
      <c r="F382" s="406"/>
      <c r="G382" s="406"/>
      <c r="H382" s="406"/>
      <c r="I382" s="406"/>
      <c r="J382" s="406"/>
      <c r="K382" s="406"/>
      <c r="L382" s="407"/>
      <c r="M382" s="406"/>
      <c r="N382" s="408"/>
    </row>
    <row r="383" spans="1:14" ht="13.5" thickBot="1">
      <c r="A383" s="168" t="s">
        <v>1296</v>
      </c>
      <c r="B383" s="169"/>
      <c r="C383" s="170"/>
      <c r="D383" s="170"/>
      <c r="E383" s="170"/>
      <c r="F383" s="409"/>
      <c r="G383" s="409"/>
      <c r="H383" s="410"/>
      <c r="I383" s="410"/>
      <c r="J383" s="112"/>
      <c r="K383" s="113" t="s">
        <v>1000</v>
      </c>
      <c r="L383" s="113"/>
      <c r="M383" s="114"/>
      <c r="N383" s="115">
        <f>SUM(N372-N375)</f>
        <v>0</v>
      </c>
    </row>
    <row r="384" ht="12.75" customHeight="1" thickBot="1" thickTop="1"/>
    <row r="385" spans="1:14" ht="12.75" customHeight="1" thickTop="1">
      <c r="A385" s="424" t="s">
        <v>992</v>
      </c>
      <c r="B385" s="425"/>
      <c r="C385" s="426"/>
      <c r="D385" s="430">
        <f>D356+1</f>
        <v>13</v>
      </c>
      <c r="E385" s="431"/>
      <c r="F385" s="215" t="s">
        <v>997</v>
      </c>
      <c r="G385" s="216"/>
      <c r="H385" s="217"/>
      <c r="I385" s="416"/>
      <c r="J385" s="417"/>
      <c r="K385" s="417"/>
      <c r="L385" s="103" t="s">
        <v>993</v>
      </c>
      <c r="M385" s="418"/>
      <c r="N385" s="419"/>
    </row>
    <row r="386" spans="1:14" ht="12.75" customHeight="1">
      <c r="A386" s="427"/>
      <c r="B386" s="428"/>
      <c r="C386" s="429"/>
      <c r="D386" s="432"/>
      <c r="E386" s="433"/>
      <c r="F386" s="178" t="s">
        <v>996</v>
      </c>
      <c r="G386" s="178"/>
      <c r="H386" s="178"/>
      <c r="I386" s="407"/>
      <c r="J386" s="407"/>
      <c r="K386" s="407"/>
      <c r="L386" s="406"/>
      <c r="M386" s="101"/>
      <c r="N386" s="104"/>
    </row>
    <row r="387" spans="1:14" ht="12.75">
      <c r="A387" s="414" t="s">
        <v>1011</v>
      </c>
      <c r="B387" s="183"/>
      <c r="C387" s="183"/>
      <c r="D387" s="183"/>
      <c r="E387" s="183"/>
      <c r="F387" s="183"/>
      <c r="G387" s="183"/>
      <c r="H387" s="183"/>
      <c r="I387" s="183"/>
      <c r="J387" s="225"/>
      <c r="K387" s="83" t="s">
        <v>1006</v>
      </c>
      <c r="L387" s="90">
        <f>SUM(+IF(N388="Win",1,0)+IF(N389="Win",1,0)+IF(N390="win",1,0)+IF(N394="win",1,0))</f>
        <v>0</v>
      </c>
      <c r="M387" s="83" t="s">
        <v>1007</v>
      </c>
      <c r="N387" s="105">
        <f>SUM(+IF(N388="Loss",1,0)+IF(N389="Loss",1,0)+IF(N390="loss",1,0)+IF(N394="Loss",1,0))</f>
        <v>0</v>
      </c>
    </row>
    <row r="388" spans="1:14" ht="12.75">
      <c r="A388" s="106" t="s">
        <v>1009</v>
      </c>
      <c r="B388" s="434"/>
      <c r="C388" s="246"/>
      <c r="D388" s="247"/>
      <c r="E388" s="189" t="s">
        <v>1304</v>
      </c>
      <c r="F388" s="191"/>
      <c r="G388" s="85"/>
      <c r="H388" s="199" t="s">
        <v>1303</v>
      </c>
      <c r="I388" s="200"/>
      <c r="J388" s="85"/>
      <c r="K388" s="82" t="s">
        <v>1302</v>
      </c>
      <c r="L388" s="102">
        <f>IF(G388-J388&gt;300,"+5",IF(G388-J388&gt;=151,"+4",IF(G388-J388&gt;=101,"+3",IF(G388-J388&gt;=76,"+2",IF(G388-J388&gt;=51,"+1",0)))))</f>
        <v>0</v>
      </c>
      <c r="M388" s="82" t="s">
        <v>1010</v>
      </c>
      <c r="N388" s="107"/>
    </row>
    <row r="389" spans="1:14" ht="12.75">
      <c r="A389" s="106" t="s">
        <v>1009</v>
      </c>
      <c r="B389" s="434"/>
      <c r="C389" s="246"/>
      <c r="D389" s="247"/>
      <c r="E389" s="189" t="s">
        <v>1304</v>
      </c>
      <c r="F389" s="191"/>
      <c r="G389" s="85"/>
      <c r="H389" s="199" t="s">
        <v>1303</v>
      </c>
      <c r="I389" s="200"/>
      <c r="J389" s="85"/>
      <c r="K389" s="82" t="s">
        <v>1302</v>
      </c>
      <c r="L389" s="102">
        <f>IF(G389-J389&gt;300,"+5",IF(G389-J389&gt;=151,"+4",IF(G389-J389&gt;=101,"+3",IF(G389-J389&gt;=76,"+2",IF(G389-J389&gt;=51,"+1",0)))))</f>
        <v>0</v>
      </c>
      <c r="M389" s="82" t="s">
        <v>1010</v>
      </c>
      <c r="N389" s="107"/>
    </row>
    <row r="390" spans="1:14" ht="12.75">
      <c r="A390" s="106" t="s">
        <v>1009</v>
      </c>
      <c r="B390" s="434"/>
      <c r="C390" s="246"/>
      <c r="D390" s="247"/>
      <c r="E390" s="189" t="s">
        <v>1304</v>
      </c>
      <c r="F390" s="191"/>
      <c r="G390" s="85"/>
      <c r="H390" s="199" t="s">
        <v>1303</v>
      </c>
      <c r="I390" s="200"/>
      <c r="J390" s="85"/>
      <c r="K390" s="82" t="s">
        <v>1302</v>
      </c>
      <c r="L390" s="102">
        <f>IF(G390-J390&gt;300,"+5",IF(G390-J390&gt;=151,"+4",IF(G390-J390&gt;=101,"+3",IF(G390-J390&gt;=76,"+2",IF(G390-J390&gt;=51,"+1",0)))))</f>
        <v>0</v>
      </c>
      <c r="M390" s="82" t="s">
        <v>1010</v>
      </c>
      <c r="N390" s="107"/>
    </row>
    <row r="391" spans="1:14" ht="12.75">
      <c r="A391" s="201" t="s">
        <v>3</v>
      </c>
      <c r="B391" s="202"/>
      <c r="C391" s="202"/>
      <c r="D391" s="202"/>
      <c r="E391" s="202"/>
      <c r="F391" s="202"/>
      <c r="G391" s="51"/>
      <c r="H391" s="178" t="s">
        <v>0</v>
      </c>
      <c r="I391" s="164"/>
      <c r="J391" s="164"/>
      <c r="K391" s="164"/>
      <c r="L391" s="164"/>
      <c r="M391" s="116"/>
      <c r="N391" s="108"/>
    </row>
    <row r="392" spans="1:14" ht="12.75">
      <c r="A392" s="186" t="s">
        <v>1297</v>
      </c>
      <c r="B392" s="164"/>
      <c r="C392" s="164"/>
      <c r="D392" s="86"/>
      <c r="E392" s="51"/>
      <c r="F392" s="51"/>
      <c r="G392" s="51"/>
      <c r="H392" s="178" t="s">
        <v>1</v>
      </c>
      <c r="I392" s="164"/>
      <c r="J392" s="164"/>
      <c r="K392" s="164"/>
      <c r="L392" s="164"/>
      <c r="M392" s="403"/>
      <c r="N392" s="404"/>
    </row>
    <row r="393" spans="1:14" ht="12.75">
      <c r="A393" s="186" t="s">
        <v>1298</v>
      </c>
      <c r="B393" s="164"/>
      <c r="C393" s="164"/>
      <c r="D393" s="86"/>
      <c r="E393" s="51"/>
      <c r="F393" s="51"/>
      <c r="G393" s="51"/>
      <c r="H393" s="51"/>
      <c r="I393" s="51"/>
      <c r="J393" s="51"/>
      <c r="K393" s="51"/>
      <c r="L393" s="51"/>
      <c r="M393" s="51"/>
      <c r="N393" s="108"/>
    </row>
    <row r="394" spans="1:14" ht="12.75">
      <c r="A394" s="119" t="s">
        <v>1307</v>
      </c>
      <c r="B394" s="434"/>
      <c r="C394" s="246"/>
      <c r="D394" s="247"/>
      <c r="E394" s="189" t="s">
        <v>1304</v>
      </c>
      <c r="F394" s="191"/>
      <c r="G394" s="85"/>
      <c r="H394" s="199" t="s">
        <v>1303</v>
      </c>
      <c r="I394" s="200"/>
      <c r="J394" s="85"/>
      <c r="K394" s="82" t="s">
        <v>1302</v>
      </c>
      <c r="L394" s="102">
        <f>IF(G394-J394&gt;300,"+5",IF(G394-J394&gt;=151,"+4",IF(G394-J394&gt;=101,"+3",IF(G394-J394&gt;=76,"+2",IF(G394-J394&gt;=51,"+1",0)))))</f>
        <v>0</v>
      </c>
      <c r="M394" s="82" t="s">
        <v>1010</v>
      </c>
      <c r="N394" s="107"/>
    </row>
    <row r="395" spans="1:14" ht="12.75">
      <c r="A395" s="153" t="s">
        <v>4</v>
      </c>
      <c r="B395" s="187"/>
      <c r="C395" s="187"/>
      <c r="D395" s="187"/>
      <c r="E395" s="187"/>
      <c r="F395" s="188"/>
      <c r="G395" s="189" t="s">
        <v>1299</v>
      </c>
      <c r="H395" s="190"/>
      <c r="I395" s="190"/>
      <c r="J395" s="190"/>
      <c r="K395" s="190"/>
      <c r="L395" s="191"/>
      <c r="M395" s="85"/>
      <c r="N395" s="120"/>
    </row>
    <row r="396" spans="1:14" ht="12.75">
      <c r="A396" s="192" t="s">
        <v>738</v>
      </c>
      <c r="B396" s="193"/>
      <c r="C396" s="79" t="s">
        <v>739</v>
      </c>
      <c r="D396" s="86"/>
      <c r="E396" s="80" t="s">
        <v>740</v>
      </c>
      <c r="F396" s="86"/>
      <c r="G396" s="80" t="s">
        <v>741</v>
      </c>
      <c r="H396" s="86"/>
      <c r="I396" s="80" t="s">
        <v>742</v>
      </c>
      <c r="J396" s="117"/>
      <c r="K396" s="182" t="s">
        <v>748</v>
      </c>
      <c r="L396" s="161"/>
      <c r="M396" s="162"/>
      <c r="N396" s="110"/>
    </row>
    <row r="397" spans="1:14" ht="12.75">
      <c r="A397" s="194"/>
      <c r="B397" s="195"/>
      <c r="C397" s="75" t="s">
        <v>743</v>
      </c>
      <c r="D397" s="87"/>
      <c r="E397" s="81" t="s">
        <v>744</v>
      </c>
      <c r="F397" s="87"/>
      <c r="G397" s="81" t="s">
        <v>745</v>
      </c>
      <c r="H397" s="87"/>
      <c r="I397" s="81" t="s">
        <v>746</v>
      </c>
      <c r="J397" s="100"/>
      <c r="K397" s="178" t="s">
        <v>756</v>
      </c>
      <c r="L397" s="178"/>
      <c r="M397" s="178"/>
      <c r="N397" s="110"/>
    </row>
    <row r="398" spans="1:14" ht="12.75">
      <c r="A398" s="179" t="s">
        <v>998</v>
      </c>
      <c r="B398" s="161"/>
      <c r="C398" s="162"/>
      <c r="D398" s="100"/>
      <c r="E398" s="178" t="s">
        <v>999</v>
      </c>
      <c r="F398" s="164"/>
      <c r="G398" s="164"/>
      <c r="H398" s="164"/>
      <c r="I398" s="164"/>
      <c r="J398" s="118">
        <f>IF(D396&gt;0,VLOOKUP(SUM(D396+F396+H396+J396+D397+F397+H397+J397),ShardsFound,2),0)+D398</f>
        <v>0</v>
      </c>
      <c r="K398" s="182" t="s">
        <v>524</v>
      </c>
      <c r="L398" s="162"/>
      <c r="M398" s="87"/>
      <c r="N398" s="109"/>
    </row>
    <row r="399" spans="1:14" ht="12.75">
      <c r="A399" s="153" t="s">
        <v>758</v>
      </c>
      <c r="B399" s="183"/>
      <c r="C399" s="183"/>
      <c r="D399" s="183"/>
      <c r="E399" s="184"/>
      <c r="F399" s="185"/>
      <c r="G399" s="51"/>
      <c r="H399" s="51"/>
      <c r="I399" s="51"/>
      <c r="J399" s="51"/>
      <c r="K399" s="78" t="s">
        <v>752</v>
      </c>
      <c r="L399" s="78"/>
      <c r="M399" s="78"/>
      <c r="N399" s="111">
        <f>IF(M398&gt;0,VLOOKUP(M398,Shards,VLOOKUP(M395,Warriors,2)),0)</f>
        <v>0</v>
      </c>
    </row>
    <row r="400" spans="1:14" ht="12.75">
      <c r="A400" s="179" t="s">
        <v>757</v>
      </c>
      <c r="B400" s="161"/>
      <c r="C400" s="161"/>
      <c r="D400" s="161"/>
      <c r="E400" s="453"/>
      <c r="F400" s="162"/>
      <c r="G400" s="178" t="s">
        <v>1308</v>
      </c>
      <c r="H400" s="178"/>
      <c r="I400" s="178"/>
      <c r="J400" s="100"/>
      <c r="K400" s="178" t="s">
        <v>6</v>
      </c>
      <c r="L400" s="164"/>
      <c r="M400" s="164"/>
      <c r="N400" s="151">
        <f>IF(I386="Able to Loot",IF(M391="No",D392*E400,0),0)</f>
        <v>0</v>
      </c>
    </row>
    <row r="401" spans="1:14" ht="12.75">
      <c r="A401" s="153" t="s">
        <v>749</v>
      </c>
      <c r="B401" s="180"/>
      <c r="C401" s="180"/>
      <c r="D401" s="180"/>
      <c r="E401" s="180"/>
      <c r="F401" s="181"/>
      <c r="G401" s="51"/>
      <c r="H401" s="51"/>
      <c r="I401" s="51"/>
      <c r="J401" s="51"/>
      <c r="K401" s="178" t="s">
        <v>755</v>
      </c>
      <c r="L401" s="178"/>
      <c r="M401" s="178"/>
      <c r="N401" s="111">
        <f>SUM(N399+N396+N400+N397)</f>
        <v>0</v>
      </c>
    </row>
    <row r="402" spans="1:14" ht="12.75">
      <c r="A402" s="179" t="s">
        <v>751</v>
      </c>
      <c r="B402" s="161"/>
      <c r="C402" s="161"/>
      <c r="D402" s="162"/>
      <c r="E402" s="86"/>
      <c r="F402" s="178" t="s">
        <v>754</v>
      </c>
      <c r="G402" s="178"/>
      <c r="H402" s="178"/>
      <c r="I402" s="87"/>
      <c r="J402" s="51"/>
      <c r="K402" s="51"/>
      <c r="L402" s="51"/>
      <c r="M402" s="51"/>
      <c r="N402" s="108"/>
    </row>
    <row r="403" spans="1:14" ht="12.75">
      <c r="A403" s="179" t="s">
        <v>750</v>
      </c>
      <c r="B403" s="161"/>
      <c r="C403" s="161"/>
      <c r="D403" s="162"/>
      <c r="E403" s="88"/>
      <c r="F403" s="51"/>
      <c r="G403" s="51"/>
      <c r="H403" s="51"/>
      <c r="I403" s="51"/>
      <c r="J403" s="51"/>
      <c r="K403" s="51"/>
      <c r="L403" s="51"/>
      <c r="M403" s="51"/>
      <c r="N403" s="108"/>
    </row>
    <row r="404" spans="1:14" ht="12.75">
      <c r="A404" s="163" t="s">
        <v>753</v>
      </c>
      <c r="B404" s="178"/>
      <c r="C404" s="178"/>
      <c r="D404" s="164"/>
      <c r="E404" s="87"/>
      <c r="F404" s="178" t="s">
        <v>5</v>
      </c>
      <c r="G404" s="164"/>
      <c r="H404" s="164"/>
      <c r="I404" s="164"/>
      <c r="J404" s="40">
        <f>SUM('Additional Members'!F$89+'Additional Members'!F$98+'Additional Members'!F$107+'Additional Members'!F$123+'Additional Members'!F$132)</f>
        <v>0</v>
      </c>
      <c r="K404" s="178" t="s">
        <v>1300</v>
      </c>
      <c r="L404" s="159"/>
      <c r="M404" s="159"/>
      <c r="N404" s="111">
        <f>SUM(E402+E403+E404+I402)</f>
        <v>0</v>
      </c>
    </row>
    <row r="405" spans="1:14" ht="12.75">
      <c r="A405" s="414" t="s">
        <v>532</v>
      </c>
      <c r="B405" s="183"/>
      <c r="C405" s="183"/>
      <c r="D405" s="183"/>
      <c r="E405" s="183"/>
      <c r="F405" s="183"/>
      <c r="G405" s="183"/>
      <c r="H405" s="183"/>
      <c r="I405" s="183"/>
      <c r="J405" s="183"/>
      <c r="K405" s="225"/>
      <c r="L405" s="415" t="s">
        <v>1001</v>
      </c>
      <c r="M405" s="161"/>
      <c r="N405" s="413"/>
    </row>
    <row r="406" spans="1:14" ht="12.75">
      <c r="A406" s="411"/>
      <c r="B406" s="161"/>
      <c r="C406" s="161"/>
      <c r="D406" s="161"/>
      <c r="E406" s="161"/>
      <c r="F406" s="161"/>
      <c r="G406" s="161"/>
      <c r="H406" s="161"/>
      <c r="I406" s="161"/>
      <c r="J406" s="161"/>
      <c r="K406" s="162"/>
      <c r="L406" s="412"/>
      <c r="M406" s="161"/>
      <c r="N406" s="413"/>
    </row>
    <row r="407" spans="1:14" ht="12.75">
      <c r="A407" s="411"/>
      <c r="B407" s="161"/>
      <c r="C407" s="161"/>
      <c r="D407" s="161"/>
      <c r="E407" s="161"/>
      <c r="F407" s="161"/>
      <c r="G407" s="161"/>
      <c r="H407" s="161"/>
      <c r="I407" s="161"/>
      <c r="J407" s="161"/>
      <c r="K407" s="162"/>
      <c r="L407" s="412"/>
      <c r="M407" s="161"/>
      <c r="N407" s="413"/>
    </row>
    <row r="408" spans="1:14" ht="12.75">
      <c r="A408" s="411"/>
      <c r="B408" s="161"/>
      <c r="C408" s="161"/>
      <c r="D408" s="161"/>
      <c r="E408" s="161"/>
      <c r="F408" s="161"/>
      <c r="G408" s="161"/>
      <c r="H408" s="161"/>
      <c r="I408" s="161"/>
      <c r="J408" s="161"/>
      <c r="K408" s="162"/>
      <c r="L408" s="412"/>
      <c r="M408" s="161"/>
      <c r="N408" s="413"/>
    </row>
    <row r="409" spans="1:14" ht="12.75">
      <c r="A409" s="411"/>
      <c r="B409" s="161"/>
      <c r="C409" s="161"/>
      <c r="D409" s="161"/>
      <c r="E409" s="161"/>
      <c r="F409" s="161"/>
      <c r="G409" s="161"/>
      <c r="H409" s="161"/>
      <c r="I409" s="161"/>
      <c r="J409" s="161"/>
      <c r="K409" s="162"/>
      <c r="L409" s="412"/>
      <c r="M409" s="161"/>
      <c r="N409" s="413"/>
    </row>
    <row r="410" spans="1:14" ht="12.75">
      <c r="A410" s="411"/>
      <c r="B410" s="161"/>
      <c r="C410" s="161"/>
      <c r="D410" s="161"/>
      <c r="E410" s="161"/>
      <c r="F410" s="161"/>
      <c r="G410" s="161"/>
      <c r="H410" s="161"/>
      <c r="I410" s="161"/>
      <c r="J410" s="161"/>
      <c r="K410" s="162"/>
      <c r="L410" s="412"/>
      <c r="M410" s="161"/>
      <c r="N410" s="413"/>
    </row>
    <row r="411" spans="1:14" ht="12.75">
      <c r="A411" s="405"/>
      <c r="B411" s="406"/>
      <c r="C411" s="406"/>
      <c r="D411" s="406"/>
      <c r="E411" s="406"/>
      <c r="F411" s="406"/>
      <c r="G411" s="406"/>
      <c r="H411" s="406"/>
      <c r="I411" s="406"/>
      <c r="J411" s="406"/>
      <c r="K411" s="406"/>
      <c r="L411" s="407"/>
      <c r="M411" s="406"/>
      <c r="N411" s="408"/>
    </row>
    <row r="412" spans="1:14" ht="13.5" thickBot="1">
      <c r="A412" s="168" t="s">
        <v>1296</v>
      </c>
      <c r="B412" s="169"/>
      <c r="C412" s="170"/>
      <c r="D412" s="170"/>
      <c r="E412" s="170"/>
      <c r="F412" s="409"/>
      <c r="G412" s="409"/>
      <c r="H412" s="410"/>
      <c r="I412" s="410"/>
      <c r="J412" s="112"/>
      <c r="K412" s="113" t="s">
        <v>1000</v>
      </c>
      <c r="L412" s="113"/>
      <c r="M412" s="114"/>
      <c r="N412" s="115">
        <f>SUM(N401-N404)</f>
        <v>0</v>
      </c>
    </row>
    <row r="413" spans="1:14" ht="15.75" thickTop="1">
      <c r="A413" s="67" t="s">
        <v>1003</v>
      </c>
      <c r="B413" s="420">
        <f>SUBSTITUTE(Heroes!F$1,0,"")</f>
      </c>
      <c r="C413" s="421"/>
      <c r="D413" s="421"/>
      <c r="E413" s="422"/>
      <c r="F413" s="422"/>
      <c r="G413" s="422"/>
      <c r="H413" s="422"/>
      <c r="I413" s="422"/>
      <c r="J413" s="422"/>
      <c r="K413" s="422"/>
      <c r="L413" s="422"/>
      <c r="M413" s="422"/>
      <c r="N413" s="423"/>
    </row>
    <row r="414" ht="13.5" thickBot="1"/>
    <row r="415" spans="1:14" ht="12.75" customHeight="1" thickTop="1">
      <c r="A415" s="424" t="s">
        <v>992</v>
      </c>
      <c r="B415" s="425"/>
      <c r="C415" s="426"/>
      <c r="D415" s="430">
        <f>D356+2</f>
        <v>14</v>
      </c>
      <c r="E415" s="431"/>
      <c r="F415" s="215" t="s">
        <v>997</v>
      </c>
      <c r="G415" s="216"/>
      <c r="H415" s="217"/>
      <c r="I415" s="416"/>
      <c r="J415" s="417"/>
      <c r="K415" s="417"/>
      <c r="L415" s="103" t="s">
        <v>993</v>
      </c>
      <c r="M415" s="418"/>
      <c r="N415" s="419"/>
    </row>
    <row r="416" spans="1:14" ht="12.75" customHeight="1">
      <c r="A416" s="427"/>
      <c r="B416" s="428"/>
      <c r="C416" s="429"/>
      <c r="D416" s="432"/>
      <c r="E416" s="433"/>
      <c r="F416" s="178" t="s">
        <v>996</v>
      </c>
      <c r="G416" s="178"/>
      <c r="H416" s="178"/>
      <c r="I416" s="407"/>
      <c r="J416" s="407"/>
      <c r="K416" s="407"/>
      <c r="L416" s="406"/>
      <c r="M416" s="101"/>
      <c r="N416" s="104"/>
    </row>
    <row r="417" spans="1:14" ht="12.75">
      <c r="A417" s="414" t="s">
        <v>1011</v>
      </c>
      <c r="B417" s="183"/>
      <c r="C417" s="183"/>
      <c r="D417" s="183"/>
      <c r="E417" s="183"/>
      <c r="F417" s="183"/>
      <c r="G417" s="183"/>
      <c r="H417" s="183"/>
      <c r="I417" s="183"/>
      <c r="J417" s="225"/>
      <c r="K417" s="83" t="s">
        <v>1006</v>
      </c>
      <c r="L417" s="90">
        <f>SUM(+IF(N418="Win",1,0)+IF(N419="Win",1,0)+IF(N420="win",1,0)+IF(N424="win",1,0))</f>
        <v>0</v>
      </c>
      <c r="M417" s="83" t="s">
        <v>1007</v>
      </c>
      <c r="N417" s="105">
        <f>SUM(+IF(N418="Loss",1,0)+IF(N419="Loss",1,0)+IF(N420="loss",1,0)+IF(N424="Loss",1,0))</f>
        <v>0</v>
      </c>
    </row>
    <row r="418" spans="1:14" ht="12.75">
      <c r="A418" s="106" t="s">
        <v>1009</v>
      </c>
      <c r="B418" s="434"/>
      <c r="C418" s="246"/>
      <c r="D418" s="247"/>
      <c r="E418" s="189" t="s">
        <v>1304</v>
      </c>
      <c r="F418" s="191"/>
      <c r="G418" s="85"/>
      <c r="H418" s="199" t="s">
        <v>1303</v>
      </c>
      <c r="I418" s="200"/>
      <c r="J418" s="85"/>
      <c r="K418" s="82" t="s">
        <v>1302</v>
      </c>
      <c r="L418" s="102">
        <f>IF(G418-J418&gt;300,"+5",IF(G418-J418&gt;=151,"+4",IF(G418-J418&gt;=101,"+3",IF(G418-J418&gt;=76,"+2",IF(G418-J418&gt;=51,"+1",0)))))</f>
        <v>0</v>
      </c>
      <c r="M418" s="82" t="s">
        <v>1010</v>
      </c>
      <c r="N418" s="107"/>
    </row>
    <row r="419" spans="1:14" ht="12.75">
      <c r="A419" s="106" t="s">
        <v>1009</v>
      </c>
      <c r="B419" s="434"/>
      <c r="C419" s="246"/>
      <c r="D419" s="247"/>
      <c r="E419" s="189" t="s">
        <v>1304</v>
      </c>
      <c r="F419" s="191"/>
      <c r="G419" s="85"/>
      <c r="H419" s="199" t="s">
        <v>1303</v>
      </c>
      <c r="I419" s="200"/>
      <c r="J419" s="85"/>
      <c r="K419" s="82" t="s">
        <v>1302</v>
      </c>
      <c r="L419" s="102">
        <f>IF(G419-J419&gt;300,"+5",IF(G419-J419&gt;=151,"+4",IF(G419-J419&gt;=101,"+3",IF(G419-J419&gt;=76,"+2",IF(G419-J419&gt;=51,"+1",0)))))</f>
        <v>0</v>
      </c>
      <c r="M419" s="82" t="s">
        <v>1010</v>
      </c>
      <c r="N419" s="107"/>
    </row>
    <row r="420" spans="1:14" ht="12.75">
      <c r="A420" s="106" t="s">
        <v>1009</v>
      </c>
      <c r="B420" s="434"/>
      <c r="C420" s="246"/>
      <c r="D420" s="247"/>
      <c r="E420" s="189" t="s">
        <v>1304</v>
      </c>
      <c r="F420" s="191"/>
      <c r="G420" s="85"/>
      <c r="H420" s="199" t="s">
        <v>1303</v>
      </c>
      <c r="I420" s="200"/>
      <c r="J420" s="85"/>
      <c r="K420" s="82" t="s">
        <v>1302</v>
      </c>
      <c r="L420" s="102">
        <f>IF(G420-J420&gt;300,"+5",IF(G420-J420&gt;=151,"+4",IF(G420-J420&gt;=101,"+3",IF(G420-J420&gt;=76,"+2",IF(G420-J420&gt;=51,"+1",0)))))</f>
        <v>0</v>
      </c>
      <c r="M420" s="82" t="s">
        <v>1010</v>
      </c>
      <c r="N420" s="107"/>
    </row>
    <row r="421" spans="1:14" ht="12.75">
      <c r="A421" s="201" t="s">
        <v>3</v>
      </c>
      <c r="B421" s="202"/>
      <c r="C421" s="202"/>
      <c r="D421" s="202"/>
      <c r="E421" s="202"/>
      <c r="F421" s="202"/>
      <c r="G421" s="51"/>
      <c r="H421" s="178" t="s">
        <v>0</v>
      </c>
      <c r="I421" s="164"/>
      <c r="J421" s="164"/>
      <c r="K421" s="164"/>
      <c r="L421" s="164"/>
      <c r="M421" s="116"/>
      <c r="N421" s="108"/>
    </row>
    <row r="422" spans="1:14" ht="12.75">
      <c r="A422" s="186" t="s">
        <v>1297</v>
      </c>
      <c r="B422" s="164"/>
      <c r="C422" s="164"/>
      <c r="D422" s="86"/>
      <c r="E422" s="51"/>
      <c r="F422" s="51"/>
      <c r="G422" s="51"/>
      <c r="H422" s="178" t="s">
        <v>1</v>
      </c>
      <c r="I422" s="164"/>
      <c r="J422" s="164"/>
      <c r="K422" s="164"/>
      <c r="L422" s="164"/>
      <c r="M422" s="403"/>
      <c r="N422" s="404"/>
    </row>
    <row r="423" spans="1:14" ht="12.75">
      <c r="A423" s="186" t="s">
        <v>1298</v>
      </c>
      <c r="B423" s="164"/>
      <c r="C423" s="164"/>
      <c r="D423" s="86"/>
      <c r="E423" s="51"/>
      <c r="F423" s="51"/>
      <c r="G423" s="51"/>
      <c r="H423" s="51"/>
      <c r="I423" s="51"/>
      <c r="J423" s="51"/>
      <c r="K423" s="51"/>
      <c r="L423" s="51"/>
      <c r="M423" s="51"/>
      <c r="N423" s="108"/>
    </row>
    <row r="424" spans="1:14" ht="12.75">
      <c r="A424" s="119" t="s">
        <v>1307</v>
      </c>
      <c r="B424" s="434"/>
      <c r="C424" s="246"/>
      <c r="D424" s="247"/>
      <c r="E424" s="189" t="s">
        <v>1304</v>
      </c>
      <c r="F424" s="191"/>
      <c r="G424" s="85"/>
      <c r="H424" s="199" t="s">
        <v>1303</v>
      </c>
      <c r="I424" s="200"/>
      <c r="J424" s="85"/>
      <c r="K424" s="82" t="s">
        <v>1302</v>
      </c>
      <c r="L424" s="102">
        <f>IF(G424-J424&gt;300,"+5",IF(G424-J424&gt;=151,"+4",IF(G424-J424&gt;=101,"+3",IF(G424-J424&gt;=76,"+2",IF(G424-J424&gt;=51,"+1",0)))))</f>
        <v>0</v>
      </c>
      <c r="M424" s="82" t="s">
        <v>1010</v>
      </c>
      <c r="N424" s="107"/>
    </row>
    <row r="425" spans="1:14" ht="12.75">
      <c r="A425" s="153" t="s">
        <v>4</v>
      </c>
      <c r="B425" s="187"/>
      <c r="C425" s="187"/>
      <c r="D425" s="187"/>
      <c r="E425" s="187"/>
      <c r="F425" s="188"/>
      <c r="G425" s="189" t="s">
        <v>1299</v>
      </c>
      <c r="H425" s="190"/>
      <c r="I425" s="190"/>
      <c r="J425" s="190"/>
      <c r="K425" s="190"/>
      <c r="L425" s="191"/>
      <c r="M425" s="85"/>
      <c r="N425" s="120"/>
    </row>
    <row r="426" spans="1:14" ht="12.75">
      <c r="A426" s="192" t="s">
        <v>738</v>
      </c>
      <c r="B426" s="193"/>
      <c r="C426" s="79" t="s">
        <v>739</v>
      </c>
      <c r="D426" s="86"/>
      <c r="E426" s="80" t="s">
        <v>740</v>
      </c>
      <c r="F426" s="86"/>
      <c r="G426" s="80" t="s">
        <v>741</v>
      </c>
      <c r="H426" s="86"/>
      <c r="I426" s="80" t="s">
        <v>742</v>
      </c>
      <c r="J426" s="117"/>
      <c r="K426" s="182" t="s">
        <v>748</v>
      </c>
      <c r="L426" s="161"/>
      <c r="M426" s="162"/>
      <c r="N426" s="110"/>
    </row>
    <row r="427" spans="1:14" ht="12.75">
      <c r="A427" s="194"/>
      <c r="B427" s="195"/>
      <c r="C427" s="75" t="s">
        <v>743</v>
      </c>
      <c r="D427" s="87"/>
      <c r="E427" s="81" t="s">
        <v>744</v>
      </c>
      <c r="F427" s="87"/>
      <c r="G427" s="81" t="s">
        <v>745</v>
      </c>
      <c r="H427" s="87"/>
      <c r="I427" s="81" t="s">
        <v>746</v>
      </c>
      <c r="J427" s="100"/>
      <c r="K427" s="178" t="s">
        <v>756</v>
      </c>
      <c r="L427" s="178"/>
      <c r="M427" s="178"/>
      <c r="N427" s="110"/>
    </row>
    <row r="428" spans="1:14" ht="12.75">
      <c r="A428" s="179" t="s">
        <v>998</v>
      </c>
      <c r="B428" s="161"/>
      <c r="C428" s="162"/>
      <c r="D428" s="100"/>
      <c r="E428" s="178" t="s">
        <v>999</v>
      </c>
      <c r="F428" s="164"/>
      <c r="G428" s="164"/>
      <c r="H428" s="164"/>
      <c r="I428" s="164"/>
      <c r="J428" s="118">
        <f>IF(D426&gt;0,VLOOKUP(SUM(D426+F426+H426+J426+D427+F427+H427+J427),ShardsFound,2),0)+D428</f>
        <v>0</v>
      </c>
      <c r="K428" s="182" t="s">
        <v>524</v>
      </c>
      <c r="L428" s="162"/>
      <c r="M428" s="87"/>
      <c r="N428" s="109"/>
    </row>
    <row r="429" spans="1:14" ht="12.75">
      <c r="A429" s="153" t="s">
        <v>758</v>
      </c>
      <c r="B429" s="183"/>
      <c r="C429" s="183"/>
      <c r="D429" s="183"/>
      <c r="E429" s="184"/>
      <c r="F429" s="185"/>
      <c r="G429" s="51"/>
      <c r="H429" s="51"/>
      <c r="I429" s="51"/>
      <c r="J429" s="51"/>
      <c r="K429" s="78" t="s">
        <v>752</v>
      </c>
      <c r="L429" s="78"/>
      <c r="M429" s="78"/>
      <c r="N429" s="111">
        <f>IF(M428&gt;0,VLOOKUP(M428,Shards,VLOOKUP(M425,Warriors,2)),0)</f>
        <v>0</v>
      </c>
    </row>
    <row r="430" spans="1:14" ht="12.75">
      <c r="A430" s="179" t="s">
        <v>757</v>
      </c>
      <c r="B430" s="161"/>
      <c r="C430" s="161"/>
      <c r="D430" s="161"/>
      <c r="E430" s="453"/>
      <c r="F430" s="162"/>
      <c r="G430" s="178" t="s">
        <v>1308</v>
      </c>
      <c r="H430" s="178"/>
      <c r="I430" s="178"/>
      <c r="J430" s="100"/>
      <c r="K430" s="178" t="s">
        <v>6</v>
      </c>
      <c r="L430" s="164"/>
      <c r="M430" s="164"/>
      <c r="N430" s="151">
        <f>IF(I416="Able to Loot",IF(M421="No",D422*E430,0),0)</f>
        <v>0</v>
      </c>
    </row>
    <row r="431" spans="1:14" ht="12.75">
      <c r="A431" s="153" t="s">
        <v>749</v>
      </c>
      <c r="B431" s="180"/>
      <c r="C431" s="180"/>
      <c r="D431" s="180"/>
      <c r="E431" s="180"/>
      <c r="F431" s="181"/>
      <c r="G431" s="51"/>
      <c r="H431" s="51"/>
      <c r="I431" s="51"/>
      <c r="J431" s="51"/>
      <c r="K431" s="178" t="s">
        <v>755</v>
      </c>
      <c r="L431" s="178"/>
      <c r="M431" s="178"/>
      <c r="N431" s="111">
        <f>SUM(N429+N426+N430+N427)</f>
        <v>0</v>
      </c>
    </row>
    <row r="432" spans="1:14" ht="12.75">
      <c r="A432" s="179" t="s">
        <v>751</v>
      </c>
      <c r="B432" s="161"/>
      <c r="C432" s="161"/>
      <c r="D432" s="162"/>
      <c r="E432" s="86"/>
      <c r="F432" s="178" t="s">
        <v>754</v>
      </c>
      <c r="G432" s="178"/>
      <c r="H432" s="178"/>
      <c r="I432" s="87"/>
      <c r="J432" s="51"/>
      <c r="K432" s="51"/>
      <c r="L432" s="51"/>
      <c r="M432" s="51"/>
      <c r="N432" s="108"/>
    </row>
    <row r="433" spans="1:14" ht="12.75">
      <c r="A433" s="179" t="s">
        <v>750</v>
      </c>
      <c r="B433" s="161"/>
      <c r="C433" s="161"/>
      <c r="D433" s="162"/>
      <c r="E433" s="88"/>
      <c r="F433" s="51"/>
      <c r="G433" s="51"/>
      <c r="H433" s="51"/>
      <c r="I433" s="51"/>
      <c r="J433" s="51"/>
      <c r="K433" s="51"/>
      <c r="L433" s="51"/>
      <c r="M433" s="51"/>
      <c r="N433" s="108"/>
    </row>
    <row r="434" spans="1:14" ht="12.75">
      <c r="A434" s="163" t="s">
        <v>753</v>
      </c>
      <c r="B434" s="178"/>
      <c r="C434" s="178"/>
      <c r="D434" s="164"/>
      <c r="E434" s="87"/>
      <c r="F434" s="178" t="s">
        <v>5</v>
      </c>
      <c r="G434" s="164"/>
      <c r="H434" s="164"/>
      <c r="I434" s="164"/>
      <c r="J434" s="40">
        <f>SUM('Additional Members'!F$89+'Additional Members'!F$98+'Additional Members'!F$107+'Additional Members'!F$123+'Additional Members'!F$132)</f>
        <v>0</v>
      </c>
      <c r="K434" s="178" t="s">
        <v>1300</v>
      </c>
      <c r="L434" s="159"/>
      <c r="M434" s="159"/>
      <c r="N434" s="111">
        <f>SUM(E432+E433+E434+I432)</f>
        <v>0</v>
      </c>
    </row>
    <row r="435" spans="1:14" ht="12.75">
      <c r="A435" s="414" t="s">
        <v>532</v>
      </c>
      <c r="B435" s="183"/>
      <c r="C435" s="183"/>
      <c r="D435" s="183"/>
      <c r="E435" s="183"/>
      <c r="F435" s="183"/>
      <c r="G435" s="183"/>
      <c r="H435" s="183"/>
      <c r="I435" s="183"/>
      <c r="J435" s="183"/>
      <c r="K435" s="225"/>
      <c r="L435" s="415" t="s">
        <v>1001</v>
      </c>
      <c r="M435" s="161"/>
      <c r="N435" s="413"/>
    </row>
    <row r="436" spans="1:14" ht="12.75">
      <c r="A436" s="411"/>
      <c r="B436" s="161"/>
      <c r="C436" s="161"/>
      <c r="D436" s="161"/>
      <c r="E436" s="161"/>
      <c r="F436" s="161"/>
      <c r="G436" s="161"/>
      <c r="H436" s="161"/>
      <c r="I436" s="161"/>
      <c r="J436" s="161"/>
      <c r="K436" s="162"/>
      <c r="L436" s="412"/>
      <c r="M436" s="161"/>
      <c r="N436" s="413"/>
    </row>
    <row r="437" spans="1:14" ht="12.75">
      <c r="A437" s="411"/>
      <c r="B437" s="161"/>
      <c r="C437" s="161"/>
      <c r="D437" s="161"/>
      <c r="E437" s="161"/>
      <c r="F437" s="161"/>
      <c r="G437" s="161"/>
      <c r="H437" s="161"/>
      <c r="I437" s="161"/>
      <c r="J437" s="161"/>
      <c r="K437" s="162"/>
      <c r="L437" s="412"/>
      <c r="M437" s="161"/>
      <c r="N437" s="413"/>
    </row>
    <row r="438" spans="1:14" ht="12.75" customHeight="1">
      <c r="A438" s="411"/>
      <c r="B438" s="161"/>
      <c r="C438" s="161"/>
      <c r="D438" s="161"/>
      <c r="E438" s="161"/>
      <c r="F438" s="161"/>
      <c r="G438" s="161"/>
      <c r="H438" s="161"/>
      <c r="I438" s="161"/>
      <c r="J438" s="161"/>
      <c r="K438" s="162"/>
      <c r="L438" s="412"/>
      <c r="M438" s="161"/>
      <c r="N438" s="413"/>
    </row>
    <row r="439" spans="1:14" ht="12.75">
      <c r="A439" s="411"/>
      <c r="B439" s="161"/>
      <c r="C439" s="161"/>
      <c r="D439" s="161"/>
      <c r="E439" s="161"/>
      <c r="F439" s="161"/>
      <c r="G439" s="161"/>
      <c r="H439" s="161"/>
      <c r="I439" s="161"/>
      <c r="J439" s="161"/>
      <c r="K439" s="162"/>
      <c r="L439" s="412"/>
      <c r="M439" s="161"/>
      <c r="N439" s="413"/>
    </row>
    <row r="440" spans="1:14" ht="12.75">
      <c r="A440" s="411"/>
      <c r="B440" s="161"/>
      <c r="C440" s="161"/>
      <c r="D440" s="161"/>
      <c r="E440" s="161"/>
      <c r="F440" s="161"/>
      <c r="G440" s="161"/>
      <c r="H440" s="161"/>
      <c r="I440" s="161"/>
      <c r="J440" s="161"/>
      <c r="K440" s="162"/>
      <c r="L440" s="412"/>
      <c r="M440" s="161"/>
      <c r="N440" s="413"/>
    </row>
    <row r="441" spans="1:14" ht="12.75">
      <c r="A441" s="405"/>
      <c r="B441" s="406"/>
      <c r="C441" s="406"/>
      <c r="D441" s="406"/>
      <c r="E441" s="406"/>
      <c r="F441" s="406"/>
      <c r="G441" s="406"/>
      <c r="H441" s="406"/>
      <c r="I441" s="406"/>
      <c r="J441" s="406"/>
      <c r="K441" s="406"/>
      <c r="L441" s="407"/>
      <c r="M441" s="406"/>
      <c r="N441" s="408"/>
    </row>
    <row r="442" spans="1:14" ht="13.5" thickBot="1">
      <c r="A442" s="168" t="s">
        <v>1296</v>
      </c>
      <c r="B442" s="169"/>
      <c r="C442" s="170"/>
      <c r="D442" s="170"/>
      <c r="E442" s="170"/>
      <c r="F442" s="409"/>
      <c r="G442" s="409"/>
      <c r="H442" s="410"/>
      <c r="I442" s="410"/>
      <c r="J442" s="112"/>
      <c r="K442" s="113" t="s">
        <v>1000</v>
      </c>
      <c r="L442" s="113"/>
      <c r="M442" s="114"/>
      <c r="N442" s="115">
        <f>SUM(N431-N434)</f>
        <v>0</v>
      </c>
    </row>
    <row r="443" ht="12.75" customHeight="1" thickBot="1" thickTop="1"/>
    <row r="444" spans="1:14" ht="12.75" customHeight="1" thickTop="1">
      <c r="A444" s="424" t="s">
        <v>992</v>
      </c>
      <c r="B444" s="425"/>
      <c r="C444" s="426"/>
      <c r="D444" s="430">
        <f>D415+1</f>
        <v>15</v>
      </c>
      <c r="E444" s="431"/>
      <c r="F444" s="215" t="s">
        <v>997</v>
      </c>
      <c r="G444" s="216"/>
      <c r="H444" s="217"/>
      <c r="I444" s="416"/>
      <c r="J444" s="417"/>
      <c r="K444" s="417"/>
      <c r="L444" s="103" t="s">
        <v>993</v>
      </c>
      <c r="M444" s="418"/>
      <c r="N444" s="419"/>
    </row>
    <row r="445" spans="1:14" ht="12.75" customHeight="1">
      <c r="A445" s="427"/>
      <c r="B445" s="428"/>
      <c r="C445" s="429"/>
      <c r="D445" s="432"/>
      <c r="E445" s="433"/>
      <c r="F445" s="178" t="s">
        <v>996</v>
      </c>
      <c r="G445" s="178"/>
      <c r="H445" s="178"/>
      <c r="I445" s="407"/>
      <c r="J445" s="407"/>
      <c r="K445" s="407"/>
      <c r="L445" s="406"/>
      <c r="M445" s="101"/>
      <c r="N445" s="104"/>
    </row>
    <row r="446" spans="1:14" ht="12.75">
      <c r="A446" s="414" t="s">
        <v>1011</v>
      </c>
      <c r="B446" s="183"/>
      <c r="C446" s="183"/>
      <c r="D446" s="183"/>
      <c r="E446" s="183"/>
      <c r="F446" s="183"/>
      <c r="G446" s="183"/>
      <c r="H446" s="183"/>
      <c r="I446" s="183"/>
      <c r="J446" s="225"/>
      <c r="K446" s="83" t="s">
        <v>1006</v>
      </c>
      <c r="L446" s="90">
        <f>SUM(+IF(N447="Win",1,0)+IF(N448="Win",1,0)+IF(N449="win",1,0)+IF(N453="win",1,0))</f>
        <v>0</v>
      </c>
      <c r="M446" s="83" t="s">
        <v>1007</v>
      </c>
      <c r="N446" s="105">
        <f>SUM(+IF(N447="Loss",1,0)+IF(N448="Loss",1,0)+IF(N449="loss",1,0)+IF(N453="Loss",1,0))</f>
        <v>0</v>
      </c>
    </row>
    <row r="447" spans="1:14" ht="12.75">
      <c r="A447" s="106" t="s">
        <v>1009</v>
      </c>
      <c r="B447" s="434"/>
      <c r="C447" s="246"/>
      <c r="D447" s="247"/>
      <c r="E447" s="189" t="s">
        <v>1304</v>
      </c>
      <c r="F447" s="191"/>
      <c r="G447" s="85"/>
      <c r="H447" s="199" t="s">
        <v>1303</v>
      </c>
      <c r="I447" s="200"/>
      <c r="J447" s="85"/>
      <c r="K447" s="82" t="s">
        <v>1302</v>
      </c>
      <c r="L447" s="102">
        <f>IF(G447-J447&gt;300,"+5",IF(G447-J447&gt;=151,"+4",IF(G447-J447&gt;=101,"+3",IF(G447-J447&gt;=76,"+2",IF(G447-J447&gt;=51,"+1",0)))))</f>
        <v>0</v>
      </c>
      <c r="M447" s="82" t="s">
        <v>1010</v>
      </c>
      <c r="N447" s="107"/>
    </row>
    <row r="448" spans="1:14" ht="12.75">
      <c r="A448" s="106" t="s">
        <v>1009</v>
      </c>
      <c r="B448" s="434"/>
      <c r="C448" s="246"/>
      <c r="D448" s="247"/>
      <c r="E448" s="189" t="s">
        <v>1304</v>
      </c>
      <c r="F448" s="191"/>
      <c r="G448" s="85"/>
      <c r="H448" s="199" t="s">
        <v>1303</v>
      </c>
      <c r="I448" s="200"/>
      <c r="J448" s="85"/>
      <c r="K448" s="82" t="s">
        <v>1302</v>
      </c>
      <c r="L448" s="102">
        <f>IF(G448-J448&gt;300,"+5",IF(G448-J448&gt;=151,"+4",IF(G448-J448&gt;=101,"+3",IF(G448-J448&gt;=76,"+2",IF(G448-J448&gt;=51,"+1",0)))))</f>
        <v>0</v>
      </c>
      <c r="M448" s="82" t="s">
        <v>1010</v>
      </c>
      <c r="N448" s="107"/>
    </row>
    <row r="449" spans="1:14" ht="12.75">
      <c r="A449" s="106" t="s">
        <v>1009</v>
      </c>
      <c r="B449" s="434"/>
      <c r="C449" s="246"/>
      <c r="D449" s="247"/>
      <c r="E449" s="189" t="s">
        <v>1304</v>
      </c>
      <c r="F449" s="191"/>
      <c r="G449" s="85"/>
      <c r="H449" s="199" t="s">
        <v>1303</v>
      </c>
      <c r="I449" s="200"/>
      <c r="J449" s="85"/>
      <c r="K449" s="82" t="s">
        <v>1302</v>
      </c>
      <c r="L449" s="102">
        <f>IF(G449-J449&gt;300,"+5",IF(G449-J449&gt;=151,"+4",IF(G449-J449&gt;=101,"+3",IF(G449-J449&gt;=76,"+2",IF(G449-J449&gt;=51,"+1",0)))))</f>
        <v>0</v>
      </c>
      <c r="M449" s="82" t="s">
        <v>1010</v>
      </c>
      <c r="N449" s="107"/>
    </row>
    <row r="450" spans="1:14" ht="12.75">
      <c r="A450" s="201" t="s">
        <v>3</v>
      </c>
      <c r="B450" s="202"/>
      <c r="C450" s="202"/>
      <c r="D450" s="202"/>
      <c r="E450" s="202"/>
      <c r="F450" s="202"/>
      <c r="G450" s="51"/>
      <c r="H450" s="178" t="s">
        <v>0</v>
      </c>
      <c r="I450" s="164"/>
      <c r="J450" s="164"/>
      <c r="K450" s="164"/>
      <c r="L450" s="164"/>
      <c r="M450" s="116"/>
      <c r="N450" s="108"/>
    </row>
    <row r="451" spans="1:14" ht="12.75">
      <c r="A451" s="186" t="s">
        <v>1297</v>
      </c>
      <c r="B451" s="164"/>
      <c r="C451" s="164"/>
      <c r="D451" s="86"/>
      <c r="E451" s="51"/>
      <c r="F451" s="51"/>
      <c r="G451" s="51"/>
      <c r="H451" s="178" t="s">
        <v>1</v>
      </c>
      <c r="I451" s="164"/>
      <c r="J451" s="164"/>
      <c r="K451" s="164"/>
      <c r="L451" s="164"/>
      <c r="M451" s="403"/>
      <c r="N451" s="404"/>
    </row>
    <row r="452" spans="1:14" ht="12.75">
      <c r="A452" s="186" t="s">
        <v>1298</v>
      </c>
      <c r="B452" s="164"/>
      <c r="C452" s="164"/>
      <c r="D452" s="86"/>
      <c r="E452" s="51"/>
      <c r="F452" s="51"/>
      <c r="G452" s="51"/>
      <c r="H452" s="51"/>
      <c r="I452" s="51"/>
      <c r="J452" s="51"/>
      <c r="K452" s="51"/>
      <c r="L452" s="51"/>
      <c r="M452" s="51"/>
      <c r="N452" s="108"/>
    </row>
    <row r="453" spans="1:14" ht="12.75">
      <c r="A453" s="119" t="s">
        <v>1307</v>
      </c>
      <c r="B453" s="434"/>
      <c r="C453" s="246"/>
      <c r="D453" s="247"/>
      <c r="E453" s="189" t="s">
        <v>1304</v>
      </c>
      <c r="F453" s="191"/>
      <c r="G453" s="85"/>
      <c r="H453" s="199" t="s">
        <v>1303</v>
      </c>
      <c r="I453" s="200"/>
      <c r="J453" s="85"/>
      <c r="K453" s="82" t="s">
        <v>1302</v>
      </c>
      <c r="L453" s="102">
        <f>IF(G453-J453&gt;300,"+5",IF(G453-J453&gt;=151,"+4",IF(G453-J453&gt;=101,"+3",IF(G453-J453&gt;=76,"+2",IF(G453-J453&gt;=51,"+1",0)))))</f>
        <v>0</v>
      </c>
      <c r="M453" s="82" t="s">
        <v>1010</v>
      </c>
      <c r="N453" s="107"/>
    </row>
    <row r="454" spans="1:14" ht="12.75">
      <c r="A454" s="153" t="s">
        <v>4</v>
      </c>
      <c r="B454" s="187"/>
      <c r="C454" s="187"/>
      <c r="D454" s="187"/>
      <c r="E454" s="187"/>
      <c r="F454" s="188"/>
      <c r="G454" s="189" t="s">
        <v>1299</v>
      </c>
      <c r="H454" s="190"/>
      <c r="I454" s="190"/>
      <c r="J454" s="190"/>
      <c r="K454" s="190"/>
      <c r="L454" s="191"/>
      <c r="M454" s="85"/>
      <c r="N454" s="120"/>
    </row>
    <row r="455" spans="1:14" ht="12.75">
      <c r="A455" s="192" t="s">
        <v>738</v>
      </c>
      <c r="B455" s="193"/>
      <c r="C455" s="79" t="s">
        <v>739</v>
      </c>
      <c r="D455" s="86"/>
      <c r="E455" s="80" t="s">
        <v>740</v>
      </c>
      <c r="F455" s="86"/>
      <c r="G455" s="80" t="s">
        <v>741</v>
      </c>
      <c r="H455" s="86"/>
      <c r="I455" s="80" t="s">
        <v>742</v>
      </c>
      <c r="J455" s="117"/>
      <c r="K455" s="182" t="s">
        <v>748</v>
      </c>
      <c r="L455" s="161"/>
      <c r="M455" s="162"/>
      <c r="N455" s="110"/>
    </row>
    <row r="456" spans="1:14" ht="12.75">
      <c r="A456" s="194"/>
      <c r="B456" s="195"/>
      <c r="C456" s="75" t="s">
        <v>743</v>
      </c>
      <c r="D456" s="87"/>
      <c r="E456" s="81" t="s">
        <v>744</v>
      </c>
      <c r="F456" s="87"/>
      <c r="G456" s="81" t="s">
        <v>745</v>
      </c>
      <c r="H456" s="87"/>
      <c r="I456" s="81" t="s">
        <v>746</v>
      </c>
      <c r="J456" s="100"/>
      <c r="K456" s="178" t="s">
        <v>756</v>
      </c>
      <c r="L456" s="178"/>
      <c r="M456" s="178"/>
      <c r="N456" s="110"/>
    </row>
    <row r="457" spans="1:14" ht="12.75">
      <c r="A457" s="179" t="s">
        <v>998</v>
      </c>
      <c r="B457" s="161"/>
      <c r="C457" s="162"/>
      <c r="D457" s="100"/>
      <c r="E457" s="178" t="s">
        <v>999</v>
      </c>
      <c r="F457" s="164"/>
      <c r="G457" s="164"/>
      <c r="H457" s="164"/>
      <c r="I457" s="164"/>
      <c r="J457" s="118">
        <f>IF(D455&gt;0,VLOOKUP(SUM(D455+F455+H455+J455+D456+F456+H456+J456),ShardsFound,2),0)+D457</f>
        <v>0</v>
      </c>
      <c r="K457" s="182" t="s">
        <v>524</v>
      </c>
      <c r="L457" s="162"/>
      <c r="M457" s="87"/>
      <c r="N457" s="109"/>
    </row>
    <row r="458" spans="1:14" ht="12.75">
      <c r="A458" s="153" t="s">
        <v>758</v>
      </c>
      <c r="B458" s="183"/>
      <c r="C458" s="183"/>
      <c r="D458" s="183"/>
      <c r="E458" s="184"/>
      <c r="F458" s="185"/>
      <c r="G458" s="51"/>
      <c r="H458" s="51"/>
      <c r="I458" s="51"/>
      <c r="J458" s="51"/>
      <c r="K458" s="78" t="s">
        <v>752</v>
      </c>
      <c r="L458" s="78"/>
      <c r="M458" s="78"/>
      <c r="N458" s="111">
        <f>IF(M457&gt;0,VLOOKUP(M457,Shards,VLOOKUP(M454,Warriors,2)),0)</f>
        <v>0</v>
      </c>
    </row>
    <row r="459" spans="1:14" ht="12.75">
      <c r="A459" s="179" t="s">
        <v>757</v>
      </c>
      <c r="B459" s="161"/>
      <c r="C459" s="161"/>
      <c r="D459" s="161"/>
      <c r="E459" s="453"/>
      <c r="F459" s="162"/>
      <c r="G459" s="178" t="s">
        <v>1308</v>
      </c>
      <c r="H459" s="178"/>
      <c r="I459" s="178"/>
      <c r="J459" s="100"/>
      <c r="K459" s="178" t="s">
        <v>6</v>
      </c>
      <c r="L459" s="164"/>
      <c r="M459" s="164"/>
      <c r="N459" s="151">
        <f>IF(I445="Able to Loot",IF(M450="No",D451*E459,0),0)</f>
        <v>0</v>
      </c>
    </row>
    <row r="460" spans="1:14" ht="12.75">
      <c r="A460" s="153" t="s">
        <v>749</v>
      </c>
      <c r="B460" s="180"/>
      <c r="C460" s="180"/>
      <c r="D460" s="180"/>
      <c r="E460" s="180"/>
      <c r="F460" s="181"/>
      <c r="G460" s="51"/>
      <c r="H460" s="51"/>
      <c r="I460" s="51"/>
      <c r="J460" s="51"/>
      <c r="K460" s="178" t="s">
        <v>755</v>
      </c>
      <c r="L460" s="178"/>
      <c r="M460" s="178"/>
      <c r="N460" s="111">
        <f>SUM(N458+N455+N459+N456)</f>
        <v>0</v>
      </c>
    </row>
    <row r="461" spans="1:14" ht="12.75">
      <c r="A461" s="179" t="s">
        <v>751</v>
      </c>
      <c r="B461" s="161"/>
      <c r="C461" s="161"/>
      <c r="D461" s="162"/>
      <c r="E461" s="86"/>
      <c r="F461" s="178" t="s">
        <v>754</v>
      </c>
      <c r="G461" s="178"/>
      <c r="H461" s="178"/>
      <c r="I461" s="87"/>
      <c r="J461" s="51"/>
      <c r="K461" s="51"/>
      <c r="L461" s="51"/>
      <c r="M461" s="51"/>
      <c r="N461" s="108"/>
    </row>
    <row r="462" spans="1:14" ht="12.75">
      <c r="A462" s="179" t="s">
        <v>750</v>
      </c>
      <c r="B462" s="161"/>
      <c r="C462" s="161"/>
      <c r="D462" s="162"/>
      <c r="E462" s="88"/>
      <c r="F462" s="51"/>
      <c r="G462" s="51"/>
      <c r="H462" s="51"/>
      <c r="I462" s="51"/>
      <c r="J462" s="51"/>
      <c r="K462" s="51"/>
      <c r="L462" s="51"/>
      <c r="M462" s="51"/>
      <c r="N462" s="108"/>
    </row>
    <row r="463" spans="1:14" ht="12.75">
      <c r="A463" s="163" t="s">
        <v>753</v>
      </c>
      <c r="B463" s="178"/>
      <c r="C463" s="178"/>
      <c r="D463" s="164"/>
      <c r="E463" s="87"/>
      <c r="F463" s="178" t="s">
        <v>5</v>
      </c>
      <c r="G463" s="164"/>
      <c r="H463" s="164"/>
      <c r="I463" s="164"/>
      <c r="J463" s="40">
        <f>SUM('Additional Members'!F$89+'Additional Members'!F$98+'Additional Members'!F$107+'Additional Members'!F$123+'Additional Members'!F$132)</f>
        <v>0</v>
      </c>
      <c r="K463" s="178" t="s">
        <v>1300</v>
      </c>
      <c r="L463" s="159"/>
      <c r="M463" s="159"/>
      <c r="N463" s="111">
        <f>SUM(E461+E462+E463+I461)</f>
        <v>0</v>
      </c>
    </row>
    <row r="464" spans="1:14" ht="12.75">
      <c r="A464" s="414" t="s">
        <v>532</v>
      </c>
      <c r="B464" s="183"/>
      <c r="C464" s="183"/>
      <c r="D464" s="183"/>
      <c r="E464" s="183"/>
      <c r="F464" s="183"/>
      <c r="G464" s="183"/>
      <c r="H464" s="183"/>
      <c r="I464" s="183"/>
      <c r="J464" s="183"/>
      <c r="K464" s="225"/>
      <c r="L464" s="415" t="s">
        <v>1001</v>
      </c>
      <c r="M464" s="161"/>
      <c r="N464" s="413"/>
    </row>
    <row r="465" spans="1:14" ht="12.75">
      <c r="A465" s="411"/>
      <c r="B465" s="161"/>
      <c r="C465" s="161"/>
      <c r="D465" s="161"/>
      <c r="E465" s="161"/>
      <c r="F465" s="161"/>
      <c r="G465" s="161"/>
      <c r="H465" s="161"/>
      <c r="I465" s="161"/>
      <c r="J465" s="161"/>
      <c r="K465" s="162"/>
      <c r="L465" s="412"/>
      <c r="M465" s="161"/>
      <c r="N465" s="413"/>
    </row>
    <row r="466" spans="1:14" ht="12.75">
      <c r="A466" s="411"/>
      <c r="B466" s="161"/>
      <c r="C466" s="161"/>
      <c r="D466" s="161"/>
      <c r="E466" s="161"/>
      <c r="F466" s="161"/>
      <c r="G466" s="161"/>
      <c r="H466" s="161"/>
      <c r="I466" s="161"/>
      <c r="J466" s="161"/>
      <c r="K466" s="162"/>
      <c r="L466" s="412"/>
      <c r="M466" s="161"/>
      <c r="N466" s="413"/>
    </row>
    <row r="467" spans="1:14" ht="12.75">
      <c r="A467" s="411"/>
      <c r="B467" s="161"/>
      <c r="C467" s="161"/>
      <c r="D467" s="161"/>
      <c r="E467" s="161"/>
      <c r="F467" s="161"/>
      <c r="G467" s="161"/>
      <c r="H467" s="161"/>
      <c r="I467" s="161"/>
      <c r="J467" s="161"/>
      <c r="K467" s="162"/>
      <c r="L467" s="412"/>
      <c r="M467" s="161"/>
      <c r="N467" s="413"/>
    </row>
    <row r="468" spans="1:14" ht="12.75">
      <c r="A468" s="411"/>
      <c r="B468" s="161"/>
      <c r="C468" s="161"/>
      <c r="D468" s="161"/>
      <c r="E468" s="161"/>
      <c r="F468" s="161"/>
      <c r="G468" s="161"/>
      <c r="H468" s="161"/>
      <c r="I468" s="161"/>
      <c r="J468" s="161"/>
      <c r="K468" s="162"/>
      <c r="L468" s="412"/>
      <c r="M468" s="161"/>
      <c r="N468" s="413"/>
    </row>
    <row r="469" spans="1:14" ht="12.75">
      <c r="A469" s="411"/>
      <c r="B469" s="161"/>
      <c r="C469" s="161"/>
      <c r="D469" s="161"/>
      <c r="E469" s="161"/>
      <c r="F469" s="161"/>
      <c r="G469" s="161"/>
      <c r="H469" s="161"/>
      <c r="I469" s="161"/>
      <c r="J469" s="161"/>
      <c r="K469" s="162"/>
      <c r="L469" s="412"/>
      <c r="M469" s="161"/>
      <c r="N469" s="413"/>
    </row>
    <row r="470" spans="1:14" ht="12.75">
      <c r="A470" s="405"/>
      <c r="B470" s="406"/>
      <c r="C470" s="406"/>
      <c r="D470" s="406"/>
      <c r="E470" s="406"/>
      <c r="F470" s="406"/>
      <c r="G470" s="406"/>
      <c r="H470" s="406"/>
      <c r="I470" s="406"/>
      <c r="J470" s="406"/>
      <c r="K470" s="406"/>
      <c r="L470" s="407"/>
      <c r="M470" s="406"/>
      <c r="N470" s="408"/>
    </row>
    <row r="471" spans="1:14" ht="13.5" thickBot="1">
      <c r="A471" s="168" t="s">
        <v>1296</v>
      </c>
      <c r="B471" s="169"/>
      <c r="C471" s="170"/>
      <c r="D471" s="170"/>
      <c r="E471" s="170"/>
      <c r="F471" s="409"/>
      <c r="G471" s="409"/>
      <c r="H471" s="410"/>
      <c r="I471" s="410"/>
      <c r="J471" s="112"/>
      <c r="K471" s="113" t="s">
        <v>1000</v>
      </c>
      <c r="L471" s="113"/>
      <c r="M471" s="114"/>
      <c r="N471" s="115">
        <f>SUM(N460-N463)</f>
        <v>0</v>
      </c>
    </row>
    <row r="472" spans="1:14" ht="15.75" thickTop="1">
      <c r="A472" s="67" t="s">
        <v>1003</v>
      </c>
      <c r="B472" s="420">
        <f>SUBSTITUTE(Heroes!F$1,0,"")</f>
      </c>
      <c r="C472" s="421"/>
      <c r="D472" s="421"/>
      <c r="E472" s="422"/>
      <c r="F472" s="422"/>
      <c r="G472" s="422"/>
      <c r="H472" s="422"/>
      <c r="I472" s="422"/>
      <c r="J472" s="422"/>
      <c r="K472" s="422"/>
      <c r="L472" s="422"/>
      <c r="M472" s="422"/>
      <c r="N472" s="423"/>
    </row>
    <row r="473" ht="13.5" thickBot="1"/>
    <row r="474" spans="1:14" ht="12.75" customHeight="1" thickTop="1">
      <c r="A474" s="424" t="s">
        <v>992</v>
      </c>
      <c r="B474" s="425"/>
      <c r="C474" s="426"/>
      <c r="D474" s="430">
        <f>D415+2</f>
        <v>16</v>
      </c>
      <c r="E474" s="431"/>
      <c r="F474" s="215" t="s">
        <v>997</v>
      </c>
      <c r="G474" s="216"/>
      <c r="H474" s="217"/>
      <c r="I474" s="416"/>
      <c r="J474" s="417"/>
      <c r="K474" s="417"/>
      <c r="L474" s="103" t="s">
        <v>993</v>
      </c>
      <c r="M474" s="418"/>
      <c r="N474" s="419"/>
    </row>
    <row r="475" spans="1:14" ht="12.75" customHeight="1">
      <c r="A475" s="427"/>
      <c r="B475" s="428"/>
      <c r="C475" s="429"/>
      <c r="D475" s="432"/>
      <c r="E475" s="433"/>
      <c r="F475" s="178" t="s">
        <v>996</v>
      </c>
      <c r="G475" s="178"/>
      <c r="H475" s="178"/>
      <c r="I475" s="407"/>
      <c r="J475" s="407"/>
      <c r="K475" s="407"/>
      <c r="L475" s="406"/>
      <c r="M475" s="101"/>
      <c r="N475" s="104"/>
    </row>
    <row r="476" spans="1:14" ht="12.75">
      <c r="A476" s="414" t="s">
        <v>1011</v>
      </c>
      <c r="B476" s="183"/>
      <c r="C476" s="183"/>
      <c r="D476" s="183"/>
      <c r="E476" s="183"/>
      <c r="F476" s="183"/>
      <c r="G476" s="183"/>
      <c r="H476" s="183"/>
      <c r="I476" s="183"/>
      <c r="J476" s="225"/>
      <c r="K476" s="83" t="s">
        <v>1006</v>
      </c>
      <c r="L476" s="90">
        <f>SUM(+IF(N477="Win",1,0)+IF(N478="Win",1,0)+IF(N479="win",1,0)+IF(N483="win",1,0))</f>
        <v>0</v>
      </c>
      <c r="M476" s="83" t="s">
        <v>1007</v>
      </c>
      <c r="N476" s="105">
        <f>SUM(+IF(N477="Loss",1,0)+IF(N478="Loss",1,0)+IF(N479="loss",1,0)+IF(N483="Loss",1,0))</f>
        <v>0</v>
      </c>
    </row>
    <row r="477" spans="1:14" ht="12.75">
      <c r="A477" s="106" t="s">
        <v>1009</v>
      </c>
      <c r="B477" s="434"/>
      <c r="C477" s="246"/>
      <c r="D477" s="247"/>
      <c r="E477" s="189" t="s">
        <v>1304</v>
      </c>
      <c r="F477" s="191"/>
      <c r="G477" s="85"/>
      <c r="H477" s="199" t="s">
        <v>1303</v>
      </c>
      <c r="I477" s="200"/>
      <c r="J477" s="85"/>
      <c r="K477" s="82" t="s">
        <v>1302</v>
      </c>
      <c r="L477" s="102">
        <f>IF(G477-J477&gt;300,"+5",IF(G477-J477&gt;=151,"+4",IF(G477-J477&gt;=101,"+3",IF(G477-J477&gt;=76,"+2",IF(G477-J477&gt;=51,"+1",0)))))</f>
        <v>0</v>
      </c>
      <c r="M477" s="82" t="s">
        <v>1010</v>
      </c>
      <c r="N477" s="107"/>
    </row>
    <row r="478" spans="1:14" ht="12.75">
      <c r="A478" s="106" t="s">
        <v>1009</v>
      </c>
      <c r="B478" s="434"/>
      <c r="C478" s="246"/>
      <c r="D478" s="247"/>
      <c r="E478" s="189" t="s">
        <v>1304</v>
      </c>
      <c r="F478" s="191"/>
      <c r="G478" s="85"/>
      <c r="H478" s="199" t="s">
        <v>1303</v>
      </c>
      <c r="I478" s="200"/>
      <c r="J478" s="85"/>
      <c r="K478" s="82" t="s">
        <v>1302</v>
      </c>
      <c r="L478" s="102">
        <f>IF(G478-J478&gt;300,"+5",IF(G478-J478&gt;=151,"+4",IF(G478-J478&gt;=101,"+3",IF(G478-J478&gt;=76,"+2",IF(G478-J478&gt;=51,"+1",0)))))</f>
        <v>0</v>
      </c>
      <c r="M478" s="82" t="s">
        <v>1010</v>
      </c>
      <c r="N478" s="107"/>
    </row>
    <row r="479" spans="1:14" ht="12.75">
      <c r="A479" s="106" t="s">
        <v>1009</v>
      </c>
      <c r="B479" s="434"/>
      <c r="C479" s="246"/>
      <c r="D479" s="247"/>
      <c r="E479" s="189" t="s">
        <v>1304</v>
      </c>
      <c r="F479" s="191"/>
      <c r="G479" s="85"/>
      <c r="H479" s="199" t="s">
        <v>1303</v>
      </c>
      <c r="I479" s="200"/>
      <c r="J479" s="85"/>
      <c r="K479" s="82" t="s">
        <v>1302</v>
      </c>
      <c r="L479" s="102">
        <f>IF(G479-J479&gt;300,"+5",IF(G479-J479&gt;=151,"+4",IF(G479-J479&gt;=101,"+3",IF(G479-J479&gt;=76,"+2",IF(G479-J479&gt;=51,"+1",0)))))</f>
        <v>0</v>
      </c>
      <c r="M479" s="82" t="s">
        <v>1010</v>
      </c>
      <c r="N479" s="107"/>
    </row>
    <row r="480" spans="1:14" ht="12.75">
      <c r="A480" s="201" t="s">
        <v>3</v>
      </c>
      <c r="B480" s="202"/>
      <c r="C480" s="202"/>
      <c r="D480" s="202"/>
      <c r="E480" s="202"/>
      <c r="F480" s="202"/>
      <c r="G480" s="51"/>
      <c r="H480" s="178" t="s">
        <v>0</v>
      </c>
      <c r="I480" s="164"/>
      <c r="J480" s="164"/>
      <c r="K480" s="164"/>
      <c r="L480" s="164"/>
      <c r="M480" s="116"/>
      <c r="N480" s="108"/>
    </row>
    <row r="481" spans="1:14" ht="12.75">
      <c r="A481" s="186" t="s">
        <v>1297</v>
      </c>
      <c r="B481" s="164"/>
      <c r="C481" s="164"/>
      <c r="D481" s="86"/>
      <c r="E481" s="51"/>
      <c r="F481" s="51"/>
      <c r="G481" s="51"/>
      <c r="H481" s="178" t="s">
        <v>1</v>
      </c>
      <c r="I481" s="164"/>
      <c r="J481" s="164"/>
      <c r="K481" s="164"/>
      <c r="L481" s="164"/>
      <c r="M481" s="403"/>
      <c r="N481" s="404"/>
    </row>
    <row r="482" spans="1:14" ht="12.75">
      <c r="A482" s="186" t="s">
        <v>1298</v>
      </c>
      <c r="B482" s="164"/>
      <c r="C482" s="164"/>
      <c r="D482" s="86"/>
      <c r="E482" s="51"/>
      <c r="F482" s="51"/>
      <c r="G482" s="51"/>
      <c r="H482" s="51"/>
      <c r="I482" s="51"/>
      <c r="J482" s="51"/>
      <c r="K482" s="51"/>
      <c r="L482" s="51"/>
      <c r="M482" s="51"/>
      <c r="N482" s="108"/>
    </row>
    <row r="483" spans="1:14" ht="12.75">
      <c r="A483" s="119" t="s">
        <v>1307</v>
      </c>
      <c r="B483" s="434"/>
      <c r="C483" s="246"/>
      <c r="D483" s="247"/>
      <c r="E483" s="189" t="s">
        <v>1304</v>
      </c>
      <c r="F483" s="191"/>
      <c r="G483" s="85"/>
      <c r="H483" s="199" t="s">
        <v>1303</v>
      </c>
      <c r="I483" s="200"/>
      <c r="J483" s="85"/>
      <c r="K483" s="82" t="s">
        <v>1302</v>
      </c>
      <c r="L483" s="102">
        <f>IF(G483-J483&gt;300,"+5",IF(G483-J483&gt;=151,"+4",IF(G483-J483&gt;=101,"+3",IF(G483-J483&gt;=76,"+2",IF(G483-J483&gt;=51,"+1",0)))))</f>
        <v>0</v>
      </c>
      <c r="M483" s="82" t="s">
        <v>1010</v>
      </c>
      <c r="N483" s="107"/>
    </row>
    <row r="484" spans="1:14" ht="12.75">
      <c r="A484" s="153" t="s">
        <v>4</v>
      </c>
      <c r="B484" s="187"/>
      <c r="C484" s="187"/>
      <c r="D484" s="187"/>
      <c r="E484" s="187"/>
      <c r="F484" s="188"/>
      <c r="G484" s="189" t="s">
        <v>1299</v>
      </c>
      <c r="H484" s="190"/>
      <c r="I484" s="190"/>
      <c r="J484" s="190"/>
      <c r="K484" s="190"/>
      <c r="L484" s="191"/>
      <c r="M484" s="85"/>
      <c r="N484" s="120"/>
    </row>
    <row r="485" spans="1:14" ht="12.75">
      <c r="A485" s="192" t="s">
        <v>738</v>
      </c>
      <c r="B485" s="193"/>
      <c r="C485" s="79" t="s">
        <v>739</v>
      </c>
      <c r="D485" s="86"/>
      <c r="E485" s="80" t="s">
        <v>740</v>
      </c>
      <c r="F485" s="86"/>
      <c r="G485" s="80" t="s">
        <v>741</v>
      </c>
      <c r="H485" s="86"/>
      <c r="I485" s="80" t="s">
        <v>742</v>
      </c>
      <c r="J485" s="117"/>
      <c r="K485" s="182" t="s">
        <v>748</v>
      </c>
      <c r="L485" s="161"/>
      <c r="M485" s="162"/>
      <c r="N485" s="110"/>
    </row>
    <row r="486" spans="1:14" ht="12.75">
      <c r="A486" s="194"/>
      <c r="B486" s="195"/>
      <c r="C486" s="75" t="s">
        <v>743</v>
      </c>
      <c r="D486" s="87"/>
      <c r="E486" s="81" t="s">
        <v>744</v>
      </c>
      <c r="F486" s="87"/>
      <c r="G486" s="81" t="s">
        <v>745</v>
      </c>
      <c r="H486" s="87"/>
      <c r="I486" s="81" t="s">
        <v>746</v>
      </c>
      <c r="J486" s="100"/>
      <c r="K486" s="178" t="s">
        <v>756</v>
      </c>
      <c r="L486" s="178"/>
      <c r="M486" s="178"/>
      <c r="N486" s="110"/>
    </row>
    <row r="487" spans="1:14" ht="12.75">
      <c r="A487" s="179" t="s">
        <v>998</v>
      </c>
      <c r="B487" s="161"/>
      <c r="C487" s="162"/>
      <c r="D487" s="100"/>
      <c r="E487" s="178" t="s">
        <v>999</v>
      </c>
      <c r="F487" s="164"/>
      <c r="G487" s="164"/>
      <c r="H487" s="164"/>
      <c r="I487" s="164"/>
      <c r="J487" s="118">
        <f>IF(D485&gt;0,VLOOKUP(SUM(D485+F485+H485+J485+D486+F486+H486+J486),ShardsFound,2),0)+D487</f>
        <v>0</v>
      </c>
      <c r="K487" s="182" t="s">
        <v>524</v>
      </c>
      <c r="L487" s="162"/>
      <c r="M487" s="87"/>
      <c r="N487" s="109"/>
    </row>
    <row r="488" spans="1:14" ht="12.75">
      <c r="A488" s="153" t="s">
        <v>758</v>
      </c>
      <c r="B488" s="183"/>
      <c r="C488" s="183"/>
      <c r="D488" s="183"/>
      <c r="E488" s="184"/>
      <c r="F488" s="185"/>
      <c r="G488" s="51"/>
      <c r="H488" s="51"/>
      <c r="I488" s="51"/>
      <c r="J488" s="51"/>
      <c r="K488" s="78" t="s">
        <v>752</v>
      </c>
      <c r="L488" s="78"/>
      <c r="M488" s="78"/>
      <c r="N488" s="111">
        <f>IF(M487&gt;0,VLOOKUP(M487,Shards,VLOOKUP(M484,Warriors,2)),0)</f>
        <v>0</v>
      </c>
    </row>
    <row r="489" spans="1:14" ht="12.75">
      <c r="A489" s="179" t="s">
        <v>757</v>
      </c>
      <c r="B489" s="161"/>
      <c r="C489" s="161"/>
      <c r="D489" s="161"/>
      <c r="E489" s="453"/>
      <c r="F489" s="162"/>
      <c r="G489" s="178" t="s">
        <v>1308</v>
      </c>
      <c r="H489" s="178"/>
      <c r="I489" s="178"/>
      <c r="J489" s="100"/>
      <c r="K489" s="178" t="s">
        <v>6</v>
      </c>
      <c r="L489" s="164"/>
      <c r="M489" s="164"/>
      <c r="N489" s="151">
        <f>IF(I475="Able to Loot",IF(M480="No",D481*E489,0),0)</f>
        <v>0</v>
      </c>
    </row>
    <row r="490" spans="1:14" ht="12.75">
      <c r="A490" s="153" t="s">
        <v>749</v>
      </c>
      <c r="B490" s="180"/>
      <c r="C490" s="180"/>
      <c r="D490" s="180"/>
      <c r="E490" s="180"/>
      <c r="F490" s="181"/>
      <c r="G490" s="51"/>
      <c r="H490" s="51"/>
      <c r="I490" s="51"/>
      <c r="J490" s="51"/>
      <c r="K490" s="178" t="s">
        <v>755</v>
      </c>
      <c r="L490" s="178"/>
      <c r="M490" s="178"/>
      <c r="N490" s="111">
        <f>SUM(N488+N485+N489+N486)</f>
        <v>0</v>
      </c>
    </row>
    <row r="491" spans="1:14" ht="12.75">
      <c r="A491" s="179" t="s">
        <v>751</v>
      </c>
      <c r="B491" s="161"/>
      <c r="C491" s="161"/>
      <c r="D491" s="162"/>
      <c r="E491" s="86"/>
      <c r="F491" s="178" t="s">
        <v>754</v>
      </c>
      <c r="G491" s="178"/>
      <c r="H491" s="178"/>
      <c r="I491" s="87"/>
      <c r="J491" s="51"/>
      <c r="K491" s="51"/>
      <c r="L491" s="51"/>
      <c r="M491" s="51"/>
      <c r="N491" s="108"/>
    </row>
    <row r="492" spans="1:14" ht="12.75">
      <c r="A492" s="179" t="s">
        <v>750</v>
      </c>
      <c r="B492" s="161"/>
      <c r="C492" s="161"/>
      <c r="D492" s="162"/>
      <c r="E492" s="88"/>
      <c r="F492" s="51"/>
      <c r="G492" s="51"/>
      <c r="H492" s="51"/>
      <c r="I492" s="51"/>
      <c r="J492" s="51"/>
      <c r="K492" s="51"/>
      <c r="L492" s="51"/>
      <c r="M492" s="51"/>
      <c r="N492" s="108"/>
    </row>
    <row r="493" spans="1:14" ht="12.75">
      <c r="A493" s="163" t="s">
        <v>753</v>
      </c>
      <c r="B493" s="178"/>
      <c r="C493" s="178"/>
      <c r="D493" s="164"/>
      <c r="E493" s="87"/>
      <c r="F493" s="178" t="s">
        <v>5</v>
      </c>
      <c r="G493" s="164"/>
      <c r="H493" s="164"/>
      <c r="I493" s="164"/>
      <c r="J493" s="40">
        <f>SUM('Additional Members'!F$89+'Additional Members'!F$98+'Additional Members'!F$107+'Additional Members'!F$123+'Additional Members'!F$132)</f>
        <v>0</v>
      </c>
      <c r="K493" s="178" t="s">
        <v>1300</v>
      </c>
      <c r="L493" s="159"/>
      <c r="M493" s="159"/>
      <c r="N493" s="111">
        <f>SUM(E491+E492+E493+I491)</f>
        <v>0</v>
      </c>
    </row>
    <row r="494" spans="1:14" ht="12.75">
      <c r="A494" s="414" t="s">
        <v>532</v>
      </c>
      <c r="B494" s="183"/>
      <c r="C494" s="183"/>
      <c r="D494" s="183"/>
      <c r="E494" s="183"/>
      <c r="F494" s="183"/>
      <c r="G494" s="183"/>
      <c r="H494" s="183"/>
      <c r="I494" s="183"/>
      <c r="J494" s="183"/>
      <c r="K494" s="225"/>
      <c r="L494" s="415" t="s">
        <v>1001</v>
      </c>
      <c r="M494" s="161"/>
      <c r="N494" s="413"/>
    </row>
    <row r="495" spans="1:14" ht="12.75">
      <c r="A495" s="411"/>
      <c r="B495" s="161"/>
      <c r="C495" s="161"/>
      <c r="D495" s="161"/>
      <c r="E495" s="161"/>
      <c r="F495" s="161"/>
      <c r="G495" s="161"/>
      <c r="H495" s="161"/>
      <c r="I495" s="161"/>
      <c r="J495" s="161"/>
      <c r="K495" s="162"/>
      <c r="L495" s="412"/>
      <c r="M495" s="161"/>
      <c r="N495" s="413"/>
    </row>
    <row r="496" spans="1:14" ht="12.75">
      <c r="A496" s="411"/>
      <c r="B496" s="161"/>
      <c r="C496" s="161"/>
      <c r="D496" s="161"/>
      <c r="E496" s="161"/>
      <c r="F496" s="161"/>
      <c r="G496" s="161"/>
      <c r="H496" s="161"/>
      <c r="I496" s="161"/>
      <c r="J496" s="161"/>
      <c r="K496" s="162"/>
      <c r="L496" s="412"/>
      <c r="M496" s="161"/>
      <c r="N496" s="413"/>
    </row>
    <row r="497" spans="1:14" ht="12.75" customHeight="1">
      <c r="A497" s="411"/>
      <c r="B497" s="161"/>
      <c r="C497" s="161"/>
      <c r="D497" s="161"/>
      <c r="E497" s="161"/>
      <c r="F497" s="161"/>
      <c r="G497" s="161"/>
      <c r="H497" s="161"/>
      <c r="I497" s="161"/>
      <c r="J497" s="161"/>
      <c r="K497" s="162"/>
      <c r="L497" s="412"/>
      <c r="M497" s="161"/>
      <c r="N497" s="413"/>
    </row>
    <row r="498" spans="1:14" ht="12.75">
      <c r="A498" s="411"/>
      <c r="B498" s="161"/>
      <c r="C498" s="161"/>
      <c r="D498" s="161"/>
      <c r="E498" s="161"/>
      <c r="F498" s="161"/>
      <c r="G498" s="161"/>
      <c r="H498" s="161"/>
      <c r="I498" s="161"/>
      <c r="J498" s="161"/>
      <c r="K498" s="162"/>
      <c r="L498" s="412"/>
      <c r="M498" s="161"/>
      <c r="N498" s="413"/>
    </row>
    <row r="499" spans="1:14" ht="12.75">
      <c r="A499" s="411"/>
      <c r="B499" s="161"/>
      <c r="C499" s="161"/>
      <c r="D499" s="161"/>
      <c r="E499" s="161"/>
      <c r="F499" s="161"/>
      <c r="G499" s="161"/>
      <c r="H499" s="161"/>
      <c r="I499" s="161"/>
      <c r="J499" s="161"/>
      <c r="K499" s="162"/>
      <c r="L499" s="412"/>
      <c r="M499" s="161"/>
      <c r="N499" s="413"/>
    </row>
    <row r="500" spans="1:14" ht="12.75">
      <c r="A500" s="405"/>
      <c r="B500" s="406"/>
      <c r="C500" s="406"/>
      <c r="D500" s="406"/>
      <c r="E500" s="406"/>
      <c r="F500" s="406"/>
      <c r="G500" s="406"/>
      <c r="H500" s="406"/>
      <c r="I500" s="406"/>
      <c r="J500" s="406"/>
      <c r="K500" s="406"/>
      <c r="L500" s="407"/>
      <c r="M500" s="406"/>
      <c r="N500" s="408"/>
    </row>
    <row r="501" spans="1:14" ht="13.5" thickBot="1">
      <c r="A501" s="168" t="s">
        <v>1296</v>
      </c>
      <c r="B501" s="169"/>
      <c r="C501" s="170"/>
      <c r="D501" s="170"/>
      <c r="E501" s="170"/>
      <c r="F501" s="409"/>
      <c r="G501" s="409"/>
      <c r="H501" s="410"/>
      <c r="I501" s="410"/>
      <c r="J501" s="112"/>
      <c r="K501" s="113" t="s">
        <v>1000</v>
      </c>
      <c r="L501" s="113"/>
      <c r="M501" s="114"/>
      <c r="N501" s="115">
        <f>SUM(N490-N493)</f>
        <v>0</v>
      </c>
    </row>
    <row r="502" ht="12.75" customHeight="1" thickBot="1" thickTop="1"/>
    <row r="503" spans="1:14" ht="12.75" customHeight="1" thickTop="1">
      <c r="A503" s="424" t="s">
        <v>992</v>
      </c>
      <c r="B503" s="425"/>
      <c r="C503" s="426"/>
      <c r="D503" s="430">
        <f>D474+1</f>
        <v>17</v>
      </c>
      <c r="E503" s="431"/>
      <c r="F503" s="215" t="s">
        <v>997</v>
      </c>
      <c r="G503" s="216"/>
      <c r="H503" s="217"/>
      <c r="I503" s="416"/>
      <c r="J503" s="417"/>
      <c r="K503" s="417"/>
      <c r="L503" s="103" t="s">
        <v>993</v>
      </c>
      <c r="M503" s="418"/>
      <c r="N503" s="419"/>
    </row>
    <row r="504" spans="1:14" ht="12.75" customHeight="1">
      <c r="A504" s="427"/>
      <c r="B504" s="428"/>
      <c r="C504" s="429"/>
      <c r="D504" s="432"/>
      <c r="E504" s="433"/>
      <c r="F504" s="178" t="s">
        <v>996</v>
      </c>
      <c r="G504" s="178"/>
      <c r="H504" s="178"/>
      <c r="I504" s="407"/>
      <c r="J504" s="407"/>
      <c r="K504" s="407"/>
      <c r="L504" s="406"/>
      <c r="M504" s="101"/>
      <c r="N504" s="104"/>
    </row>
    <row r="505" spans="1:14" ht="12.75">
      <c r="A505" s="414" t="s">
        <v>1011</v>
      </c>
      <c r="B505" s="183"/>
      <c r="C505" s="183"/>
      <c r="D505" s="183"/>
      <c r="E505" s="183"/>
      <c r="F505" s="183"/>
      <c r="G505" s="183"/>
      <c r="H505" s="183"/>
      <c r="I505" s="183"/>
      <c r="J505" s="225"/>
      <c r="K505" s="83" t="s">
        <v>1006</v>
      </c>
      <c r="L505" s="90">
        <f>SUM(+IF(N506="Win",1,0)+IF(N507="Win",1,0)+IF(N508="win",1,0)+IF(N512="win",1,0))</f>
        <v>0</v>
      </c>
      <c r="M505" s="83" t="s">
        <v>1007</v>
      </c>
      <c r="N505" s="105">
        <f>SUM(+IF(N506="Loss",1,0)+IF(N507="Loss",1,0)+IF(N508="loss",1,0)+IF(N512="Loss",1,0))</f>
        <v>0</v>
      </c>
    </row>
    <row r="506" spans="1:14" ht="12.75">
      <c r="A506" s="106" t="s">
        <v>1009</v>
      </c>
      <c r="B506" s="434"/>
      <c r="C506" s="246"/>
      <c r="D506" s="247"/>
      <c r="E506" s="189" t="s">
        <v>1304</v>
      </c>
      <c r="F506" s="191"/>
      <c r="G506" s="85"/>
      <c r="H506" s="199" t="s">
        <v>1303</v>
      </c>
      <c r="I506" s="200"/>
      <c r="J506" s="85"/>
      <c r="K506" s="82" t="s">
        <v>1302</v>
      </c>
      <c r="L506" s="102">
        <f>IF(G506-J506&gt;300,"+5",IF(G506-J506&gt;=151,"+4",IF(G506-J506&gt;=101,"+3",IF(G506-J506&gt;=76,"+2",IF(G506-J506&gt;=51,"+1",0)))))</f>
        <v>0</v>
      </c>
      <c r="M506" s="82" t="s">
        <v>1010</v>
      </c>
      <c r="N506" s="107"/>
    </row>
    <row r="507" spans="1:14" ht="12.75">
      <c r="A507" s="106" t="s">
        <v>1009</v>
      </c>
      <c r="B507" s="434"/>
      <c r="C507" s="246"/>
      <c r="D507" s="247"/>
      <c r="E507" s="189" t="s">
        <v>1304</v>
      </c>
      <c r="F507" s="191"/>
      <c r="G507" s="85"/>
      <c r="H507" s="199" t="s">
        <v>1303</v>
      </c>
      <c r="I507" s="200"/>
      <c r="J507" s="85"/>
      <c r="K507" s="82" t="s">
        <v>1302</v>
      </c>
      <c r="L507" s="102">
        <f>IF(G507-J507&gt;300,"+5",IF(G507-J507&gt;=151,"+4",IF(G507-J507&gt;=101,"+3",IF(G507-J507&gt;=76,"+2",IF(G507-J507&gt;=51,"+1",0)))))</f>
        <v>0</v>
      </c>
      <c r="M507" s="82" t="s">
        <v>1010</v>
      </c>
      <c r="N507" s="107"/>
    </row>
    <row r="508" spans="1:14" ht="12.75">
      <c r="A508" s="106" t="s">
        <v>1009</v>
      </c>
      <c r="B508" s="434"/>
      <c r="C508" s="246"/>
      <c r="D508" s="247"/>
      <c r="E508" s="189" t="s">
        <v>1304</v>
      </c>
      <c r="F508" s="191"/>
      <c r="G508" s="85"/>
      <c r="H508" s="199" t="s">
        <v>1303</v>
      </c>
      <c r="I508" s="200"/>
      <c r="J508" s="85"/>
      <c r="K508" s="82" t="s">
        <v>1302</v>
      </c>
      <c r="L508" s="102">
        <f>IF(G508-J508&gt;300,"+5",IF(G508-J508&gt;=151,"+4",IF(G508-J508&gt;=101,"+3",IF(G508-J508&gt;=76,"+2",IF(G508-J508&gt;=51,"+1",0)))))</f>
        <v>0</v>
      </c>
      <c r="M508" s="82" t="s">
        <v>1010</v>
      </c>
      <c r="N508" s="107"/>
    </row>
    <row r="509" spans="1:14" ht="12.75">
      <c r="A509" s="201" t="s">
        <v>3</v>
      </c>
      <c r="B509" s="202"/>
      <c r="C509" s="202"/>
      <c r="D509" s="202"/>
      <c r="E509" s="202"/>
      <c r="F509" s="202"/>
      <c r="G509" s="51"/>
      <c r="H509" s="178" t="s">
        <v>0</v>
      </c>
      <c r="I509" s="164"/>
      <c r="J509" s="164"/>
      <c r="K509" s="164"/>
      <c r="L509" s="164"/>
      <c r="M509" s="116"/>
      <c r="N509" s="108"/>
    </row>
    <row r="510" spans="1:14" ht="12.75">
      <c r="A510" s="186" t="s">
        <v>1297</v>
      </c>
      <c r="B510" s="164"/>
      <c r="C510" s="164"/>
      <c r="D510" s="86"/>
      <c r="E510" s="51"/>
      <c r="F510" s="51"/>
      <c r="G510" s="51"/>
      <c r="H510" s="178" t="s">
        <v>1</v>
      </c>
      <c r="I510" s="164"/>
      <c r="J510" s="164"/>
      <c r="K510" s="164"/>
      <c r="L510" s="164"/>
      <c r="M510" s="403"/>
      <c r="N510" s="404"/>
    </row>
    <row r="511" spans="1:14" ht="12.75">
      <c r="A511" s="186" t="s">
        <v>1298</v>
      </c>
      <c r="B511" s="164"/>
      <c r="C511" s="164"/>
      <c r="D511" s="86"/>
      <c r="E511" s="51"/>
      <c r="F511" s="51"/>
      <c r="G511" s="51"/>
      <c r="H511" s="51"/>
      <c r="I511" s="51"/>
      <c r="J511" s="51"/>
      <c r="K511" s="51"/>
      <c r="L511" s="51"/>
      <c r="M511" s="51"/>
      <c r="N511" s="108"/>
    </row>
    <row r="512" spans="1:14" ht="12.75">
      <c r="A512" s="119" t="s">
        <v>1307</v>
      </c>
      <c r="B512" s="434"/>
      <c r="C512" s="246"/>
      <c r="D512" s="247"/>
      <c r="E512" s="189" t="s">
        <v>1304</v>
      </c>
      <c r="F512" s="191"/>
      <c r="G512" s="85"/>
      <c r="H512" s="199" t="s">
        <v>1303</v>
      </c>
      <c r="I512" s="200"/>
      <c r="J512" s="85"/>
      <c r="K512" s="82" t="s">
        <v>1302</v>
      </c>
      <c r="L512" s="102">
        <f>IF(G512-J512&gt;300,"+5",IF(G512-J512&gt;=151,"+4",IF(G512-J512&gt;=101,"+3",IF(G512-J512&gt;=76,"+2",IF(G512-J512&gt;=51,"+1",0)))))</f>
        <v>0</v>
      </c>
      <c r="M512" s="82" t="s">
        <v>1010</v>
      </c>
      <c r="N512" s="107"/>
    </row>
    <row r="513" spans="1:14" ht="12.75">
      <c r="A513" s="153" t="s">
        <v>4</v>
      </c>
      <c r="B513" s="187"/>
      <c r="C513" s="187"/>
      <c r="D513" s="187"/>
      <c r="E513" s="187"/>
      <c r="F513" s="188"/>
      <c r="G513" s="189" t="s">
        <v>1299</v>
      </c>
      <c r="H513" s="190"/>
      <c r="I513" s="190"/>
      <c r="J513" s="190"/>
      <c r="K513" s="190"/>
      <c r="L513" s="191"/>
      <c r="M513" s="85"/>
      <c r="N513" s="120"/>
    </row>
    <row r="514" spans="1:14" ht="12.75">
      <c r="A514" s="192" t="s">
        <v>738</v>
      </c>
      <c r="B514" s="193"/>
      <c r="C514" s="79" t="s">
        <v>739</v>
      </c>
      <c r="D514" s="86"/>
      <c r="E514" s="80" t="s">
        <v>740</v>
      </c>
      <c r="F514" s="86"/>
      <c r="G514" s="80" t="s">
        <v>741</v>
      </c>
      <c r="H514" s="86"/>
      <c r="I514" s="80" t="s">
        <v>742</v>
      </c>
      <c r="J514" s="117"/>
      <c r="K514" s="182" t="s">
        <v>748</v>
      </c>
      <c r="L514" s="161"/>
      <c r="M514" s="162"/>
      <c r="N514" s="110"/>
    </row>
    <row r="515" spans="1:14" ht="12.75">
      <c r="A515" s="194"/>
      <c r="B515" s="195"/>
      <c r="C515" s="75" t="s">
        <v>743</v>
      </c>
      <c r="D515" s="87"/>
      <c r="E515" s="81" t="s">
        <v>744</v>
      </c>
      <c r="F515" s="87"/>
      <c r="G515" s="81" t="s">
        <v>745</v>
      </c>
      <c r="H515" s="87"/>
      <c r="I515" s="81" t="s">
        <v>746</v>
      </c>
      <c r="J515" s="100"/>
      <c r="K515" s="178" t="s">
        <v>756</v>
      </c>
      <c r="L515" s="178"/>
      <c r="M515" s="178"/>
      <c r="N515" s="110"/>
    </row>
    <row r="516" spans="1:14" ht="12.75">
      <c r="A516" s="179" t="s">
        <v>998</v>
      </c>
      <c r="B516" s="161"/>
      <c r="C516" s="162"/>
      <c r="D516" s="100"/>
      <c r="E516" s="178" t="s">
        <v>999</v>
      </c>
      <c r="F516" s="164"/>
      <c r="G516" s="164"/>
      <c r="H516" s="164"/>
      <c r="I516" s="164"/>
      <c r="J516" s="118">
        <f>IF(D514&gt;0,VLOOKUP(SUM(D514+F514+H514+J514+D515+F515+H515+J515),ShardsFound,2),0)+D516</f>
        <v>0</v>
      </c>
      <c r="K516" s="182" t="s">
        <v>524</v>
      </c>
      <c r="L516" s="162"/>
      <c r="M516" s="87"/>
      <c r="N516" s="109"/>
    </row>
    <row r="517" spans="1:14" ht="12.75">
      <c r="A517" s="153" t="s">
        <v>758</v>
      </c>
      <c r="B517" s="183"/>
      <c r="C517" s="183"/>
      <c r="D517" s="183"/>
      <c r="E517" s="184"/>
      <c r="F517" s="185"/>
      <c r="G517" s="51"/>
      <c r="H517" s="51"/>
      <c r="I517" s="51"/>
      <c r="J517" s="51"/>
      <c r="K517" s="78" t="s">
        <v>752</v>
      </c>
      <c r="L517" s="78"/>
      <c r="M517" s="78"/>
      <c r="N517" s="111">
        <f>IF(M516&gt;0,VLOOKUP(M516,Shards,VLOOKUP(M513,Warriors,2)),0)</f>
        <v>0</v>
      </c>
    </row>
    <row r="518" spans="1:14" ht="12.75">
      <c r="A518" s="179" t="s">
        <v>757</v>
      </c>
      <c r="B518" s="161"/>
      <c r="C518" s="161"/>
      <c r="D518" s="161"/>
      <c r="E518" s="453"/>
      <c r="F518" s="162"/>
      <c r="G518" s="178" t="s">
        <v>1308</v>
      </c>
      <c r="H518" s="178"/>
      <c r="I518" s="178"/>
      <c r="J518" s="100"/>
      <c r="K518" s="178" t="s">
        <v>6</v>
      </c>
      <c r="L518" s="164"/>
      <c r="M518" s="164"/>
      <c r="N518" s="151">
        <f>IF(I504="Able to Loot",IF(M509="No",D510*E518,0),0)</f>
        <v>0</v>
      </c>
    </row>
    <row r="519" spans="1:14" ht="12.75">
      <c r="A519" s="153" t="s">
        <v>749</v>
      </c>
      <c r="B519" s="180"/>
      <c r="C519" s="180"/>
      <c r="D519" s="180"/>
      <c r="E519" s="180"/>
      <c r="F519" s="181"/>
      <c r="G519" s="51"/>
      <c r="H519" s="51"/>
      <c r="I519" s="51"/>
      <c r="J519" s="51"/>
      <c r="K519" s="178" t="s">
        <v>755</v>
      </c>
      <c r="L519" s="178"/>
      <c r="M519" s="178"/>
      <c r="N519" s="111">
        <f>SUM(N517+N514+N518+N515)</f>
        <v>0</v>
      </c>
    </row>
    <row r="520" spans="1:14" ht="12.75">
      <c r="A520" s="179" t="s">
        <v>751</v>
      </c>
      <c r="B520" s="161"/>
      <c r="C520" s="161"/>
      <c r="D520" s="162"/>
      <c r="E520" s="86"/>
      <c r="F520" s="178" t="s">
        <v>754</v>
      </c>
      <c r="G520" s="178"/>
      <c r="H520" s="178"/>
      <c r="I520" s="87"/>
      <c r="J520" s="51"/>
      <c r="K520" s="51"/>
      <c r="L520" s="51"/>
      <c r="M520" s="51"/>
      <c r="N520" s="108"/>
    </row>
    <row r="521" spans="1:14" ht="12.75">
      <c r="A521" s="179" t="s">
        <v>750</v>
      </c>
      <c r="B521" s="161"/>
      <c r="C521" s="161"/>
      <c r="D521" s="162"/>
      <c r="E521" s="88"/>
      <c r="F521" s="51"/>
      <c r="G521" s="51"/>
      <c r="H521" s="51"/>
      <c r="I521" s="51"/>
      <c r="J521" s="51"/>
      <c r="K521" s="51"/>
      <c r="L521" s="51"/>
      <c r="M521" s="51"/>
      <c r="N521" s="108"/>
    </row>
    <row r="522" spans="1:14" ht="12.75">
      <c r="A522" s="163" t="s">
        <v>753</v>
      </c>
      <c r="B522" s="178"/>
      <c r="C522" s="178"/>
      <c r="D522" s="164"/>
      <c r="E522" s="87"/>
      <c r="F522" s="178" t="s">
        <v>5</v>
      </c>
      <c r="G522" s="164"/>
      <c r="H522" s="164"/>
      <c r="I522" s="164"/>
      <c r="J522" s="40">
        <f>SUM('Additional Members'!F$89+'Additional Members'!F$98+'Additional Members'!F$107+'Additional Members'!F$123+'Additional Members'!F$132)</f>
        <v>0</v>
      </c>
      <c r="K522" s="178" t="s">
        <v>1300</v>
      </c>
      <c r="L522" s="159"/>
      <c r="M522" s="159"/>
      <c r="N522" s="111">
        <f>SUM(E520+E521+E522+I520)</f>
        <v>0</v>
      </c>
    </row>
    <row r="523" spans="1:14" ht="12.75">
      <c r="A523" s="414" t="s">
        <v>532</v>
      </c>
      <c r="B523" s="183"/>
      <c r="C523" s="183"/>
      <c r="D523" s="183"/>
      <c r="E523" s="183"/>
      <c r="F523" s="183"/>
      <c r="G523" s="183"/>
      <c r="H523" s="183"/>
      <c r="I523" s="183"/>
      <c r="J523" s="183"/>
      <c r="K523" s="225"/>
      <c r="L523" s="415" t="s">
        <v>1001</v>
      </c>
      <c r="M523" s="161"/>
      <c r="N523" s="413"/>
    </row>
    <row r="524" spans="1:14" ht="12.75">
      <c r="A524" s="411"/>
      <c r="B524" s="161"/>
      <c r="C524" s="161"/>
      <c r="D524" s="161"/>
      <c r="E524" s="161"/>
      <c r="F524" s="161"/>
      <c r="G524" s="161"/>
      <c r="H524" s="161"/>
      <c r="I524" s="161"/>
      <c r="J524" s="161"/>
      <c r="K524" s="162"/>
      <c r="L524" s="412"/>
      <c r="M524" s="161"/>
      <c r="N524" s="413"/>
    </row>
    <row r="525" spans="1:14" ht="12.75">
      <c r="A525" s="411"/>
      <c r="B525" s="161"/>
      <c r="C525" s="161"/>
      <c r="D525" s="161"/>
      <c r="E525" s="161"/>
      <c r="F525" s="161"/>
      <c r="G525" s="161"/>
      <c r="H525" s="161"/>
      <c r="I525" s="161"/>
      <c r="J525" s="161"/>
      <c r="K525" s="162"/>
      <c r="L525" s="412"/>
      <c r="M525" s="161"/>
      <c r="N525" s="413"/>
    </row>
    <row r="526" spans="1:14" ht="12.75">
      <c r="A526" s="411"/>
      <c r="B526" s="161"/>
      <c r="C526" s="161"/>
      <c r="D526" s="161"/>
      <c r="E526" s="161"/>
      <c r="F526" s="161"/>
      <c r="G526" s="161"/>
      <c r="H526" s="161"/>
      <c r="I526" s="161"/>
      <c r="J526" s="161"/>
      <c r="K526" s="162"/>
      <c r="L526" s="412"/>
      <c r="M526" s="161"/>
      <c r="N526" s="413"/>
    </row>
    <row r="527" spans="1:14" ht="12.75">
      <c r="A527" s="411"/>
      <c r="B527" s="161"/>
      <c r="C527" s="161"/>
      <c r="D527" s="161"/>
      <c r="E527" s="161"/>
      <c r="F527" s="161"/>
      <c r="G527" s="161"/>
      <c r="H527" s="161"/>
      <c r="I527" s="161"/>
      <c r="J527" s="161"/>
      <c r="K527" s="162"/>
      <c r="L527" s="412"/>
      <c r="M527" s="161"/>
      <c r="N527" s="413"/>
    </row>
    <row r="528" spans="1:14" ht="12.75">
      <c r="A528" s="411"/>
      <c r="B528" s="161"/>
      <c r="C528" s="161"/>
      <c r="D528" s="161"/>
      <c r="E528" s="161"/>
      <c r="F528" s="161"/>
      <c r="G528" s="161"/>
      <c r="H528" s="161"/>
      <c r="I528" s="161"/>
      <c r="J528" s="161"/>
      <c r="K528" s="162"/>
      <c r="L528" s="412"/>
      <c r="M528" s="161"/>
      <c r="N528" s="413"/>
    </row>
    <row r="529" spans="1:14" ht="12.75">
      <c r="A529" s="405"/>
      <c r="B529" s="406"/>
      <c r="C529" s="406"/>
      <c r="D529" s="406"/>
      <c r="E529" s="406"/>
      <c r="F529" s="406"/>
      <c r="G529" s="406"/>
      <c r="H529" s="406"/>
      <c r="I529" s="406"/>
      <c r="J529" s="406"/>
      <c r="K529" s="406"/>
      <c r="L529" s="407"/>
      <c r="M529" s="406"/>
      <c r="N529" s="408"/>
    </row>
    <row r="530" spans="1:14" ht="13.5" thickBot="1">
      <c r="A530" s="168" t="s">
        <v>1296</v>
      </c>
      <c r="B530" s="169"/>
      <c r="C530" s="170"/>
      <c r="D530" s="170"/>
      <c r="E530" s="170"/>
      <c r="F530" s="409"/>
      <c r="G530" s="409"/>
      <c r="H530" s="410"/>
      <c r="I530" s="410"/>
      <c r="J530" s="112"/>
      <c r="K530" s="113" t="s">
        <v>1000</v>
      </c>
      <c r="L530" s="113"/>
      <c r="M530" s="114"/>
      <c r="N530" s="115">
        <f>SUM(N519-N522)</f>
        <v>0</v>
      </c>
    </row>
    <row r="531" spans="1:14" ht="15.75" thickTop="1">
      <c r="A531" s="67" t="s">
        <v>1003</v>
      </c>
      <c r="B531" s="420">
        <f>SUBSTITUTE(Heroes!F$1,0,"")</f>
      </c>
      <c r="C531" s="421"/>
      <c r="D531" s="421"/>
      <c r="E531" s="422"/>
      <c r="F531" s="422"/>
      <c r="G531" s="422"/>
      <c r="H531" s="422"/>
      <c r="I531" s="422"/>
      <c r="J531" s="422"/>
      <c r="K531" s="422"/>
      <c r="L531" s="422"/>
      <c r="M531" s="422"/>
      <c r="N531" s="423"/>
    </row>
    <row r="532" ht="13.5" thickBot="1"/>
    <row r="533" spans="1:14" ht="12.75" customHeight="1" thickTop="1">
      <c r="A533" s="424" t="s">
        <v>992</v>
      </c>
      <c r="B533" s="425"/>
      <c r="C533" s="426"/>
      <c r="D533" s="430">
        <f>D474+2</f>
        <v>18</v>
      </c>
      <c r="E533" s="431"/>
      <c r="F533" s="215" t="s">
        <v>997</v>
      </c>
      <c r="G533" s="216"/>
      <c r="H533" s="217"/>
      <c r="I533" s="416"/>
      <c r="J533" s="417"/>
      <c r="K533" s="417"/>
      <c r="L533" s="103" t="s">
        <v>993</v>
      </c>
      <c r="M533" s="418"/>
      <c r="N533" s="419"/>
    </row>
    <row r="534" spans="1:14" ht="12.75" customHeight="1">
      <c r="A534" s="427"/>
      <c r="B534" s="428"/>
      <c r="C534" s="429"/>
      <c r="D534" s="432"/>
      <c r="E534" s="433"/>
      <c r="F534" s="178" t="s">
        <v>996</v>
      </c>
      <c r="G534" s="178"/>
      <c r="H534" s="178"/>
      <c r="I534" s="407"/>
      <c r="J534" s="407"/>
      <c r="K534" s="407"/>
      <c r="L534" s="406"/>
      <c r="M534" s="101"/>
      <c r="N534" s="104"/>
    </row>
    <row r="535" spans="1:14" ht="12.75">
      <c r="A535" s="414" t="s">
        <v>1011</v>
      </c>
      <c r="B535" s="183"/>
      <c r="C535" s="183"/>
      <c r="D535" s="183"/>
      <c r="E535" s="183"/>
      <c r="F535" s="183"/>
      <c r="G535" s="183"/>
      <c r="H535" s="183"/>
      <c r="I535" s="183"/>
      <c r="J535" s="225"/>
      <c r="K535" s="83" t="s">
        <v>1006</v>
      </c>
      <c r="L535" s="90">
        <f>SUM(+IF(N536="Win",1,0)+IF(N537="Win",1,0)+IF(N538="win",1,0)+IF(N542="win",1,0))</f>
        <v>0</v>
      </c>
      <c r="M535" s="83" t="s">
        <v>1007</v>
      </c>
      <c r="N535" s="105">
        <f>SUM(+IF(N536="Loss",1,0)+IF(N537="Loss",1,0)+IF(N538="loss",1,0)+IF(N542="Loss",1,0))</f>
        <v>0</v>
      </c>
    </row>
    <row r="536" spans="1:14" ht="12.75">
      <c r="A536" s="106" t="s">
        <v>1009</v>
      </c>
      <c r="B536" s="434"/>
      <c r="C536" s="246"/>
      <c r="D536" s="247"/>
      <c r="E536" s="189" t="s">
        <v>1304</v>
      </c>
      <c r="F536" s="191"/>
      <c r="G536" s="85"/>
      <c r="H536" s="199" t="s">
        <v>1303</v>
      </c>
      <c r="I536" s="200"/>
      <c r="J536" s="85"/>
      <c r="K536" s="82" t="s">
        <v>1302</v>
      </c>
      <c r="L536" s="102">
        <f>IF(G536-J536&gt;300,"+5",IF(G536-J536&gt;=151,"+4",IF(G536-J536&gt;=101,"+3",IF(G536-J536&gt;=76,"+2",IF(G536-J536&gt;=51,"+1",0)))))</f>
        <v>0</v>
      </c>
      <c r="M536" s="82" t="s">
        <v>1010</v>
      </c>
      <c r="N536" s="107"/>
    </row>
    <row r="537" spans="1:14" ht="12.75">
      <c r="A537" s="106" t="s">
        <v>1009</v>
      </c>
      <c r="B537" s="434"/>
      <c r="C537" s="246"/>
      <c r="D537" s="247"/>
      <c r="E537" s="189" t="s">
        <v>1304</v>
      </c>
      <c r="F537" s="191"/>
      <c r="G537" s="85"/>
      <c r="H537" s="199" t="s">
        <v>1303</v>
      </c>
      <c r="I537" s="200"/>
      <c r="J537" s="85"/>
      <c r="K537" s="82" t="s">
        <v>1302</v>
      </c>
      <c r="L537" s="102">
        <f>IF(G537-J537&gt;300,"+5",IF(G537-J537&gt;=151,"+4",IF(G537-J537&gt;=101,"+3",IF(G537-J537&gt;=76,"+2",IF(G537-J537&gt;=51,"+1",0)))))</f>
        <v>0</v>
      </c>
      <c r="M537" s="82" t="s">
        <v>1010</v>
      </c>
      <c r="N537" s="107"/>
    </row>
    <row r="538" spans="1:14" ht="12.75">
      <c r="A538" s="106" t="s">
        <v>1009</v>
      </c>
      <c r="B538" s="434"/>
      <c r="C538" s="246"/>
      <c r="D538" s="247"/>
      <c r="E538" s="189" t="s">
        <v>1304</v>
      </c>
      <c r="F538" s="191"/>
      <c r="G538" s="85"/>
      <c r="H538" s="199" t="s">
        <v>1303</v>
      </c>
      <c r="I538" s="200"/>
      <c r="J538" s="85"/>
      <c r="K538" s="82" t="s">
        <v>1302</v>
      </c>
      <c r="L538" s="102">
        <f>IF(G538-J538&gt;300,"+5",IF(G538-J538&gt;=151,"+4",IF(G538-J538&gt;=101,"+3",IF(G538-J538&gt;=76,"+2",IF(G538-J538&gt;=51,"+1",0)))))</f>
        <v>0</v>
      </c>
      <c r="M538" s="82" t="s">
        <v>1010</v>
      </c>
      <c r="N538" s="107"/>
    </row>
    <row r="539" spans="1:14" ht="12.75">
      <c r="A539" s="201" t="s">
        <v>3</v>
      </c>
      <c r="B539" s="202"/>
      <c r="C539" s="202"/>
      <c r="D539" s="202"/>
      <c r="E539" s="202"/>
      <c r="F539" s="202"/>
      <c r="G539" s="51"/>
      <c r="H539" s="178" t="s">
        <v>0</v>
      </c>
      <c r="I539" s="164"/>
      <c r="J539" s="164"/>
      <c r="K539" s="164"/>
      <c r="L539" s="164"/>
      <c r="M539" s="116"/>
      <c r="N539" s="108"/>
    </row>
    <row r="540" spans="1:14" ht="12.75">
      <c r="A540" s="186" t="s">
        <v>1297</v>
      </c>
      <c r="B540" s="164"/>
      <c r="C540" s="164"/>
      <c r="D540" s="86"/>
      <c r="E540" s="51"/>
      <c r="F540" s="51"/>
      <c r="G540" s="51"/>
      <c r="H540" s="178" t="s">
        <v>1</v>
      </c>
      <c r="I540" s="164"/>
      <c r="J540" s="164"/>
      <c r="K540" s="164"/>
      <c r="L540" s="164"/>
      <c r="M540" s="403"/>
      <c r="N540" s="404"/>
    </row>
    <row r="541" spans="1:14" ht="12.75">
      <c r="A541" s="186" t="s">
        <v>1298</v>
      </c>
      <c r="B541" s="164"/>
      <c r="C541" s="164"/>
      <c r="D541" s="86"/>
      <c r="E541" s="51"/>
      <c r="F541" s="51"/>
      <c r="G541" s="51"/>
      <c r="H541" s="51"/>
      <c r="I541" s="51"/>
      <c r="J541" s="51"/>
      <c r="K541" s="51"/>
      <c r="L541" s="51"/>
      <c r="M541" s="51"/>
      <c r="N541" s="108"/>
    </row>
    <row r="542" spans="1:14" ht="12.75">
      <c r="A542" s="119" t="s">
        <v>1307</v>
      </c>
      <c r="B542" s="434"/>
      <c r="C542" s="246"/>
      <c r="D542" s="247"/>
      <c r="E542" s="189" t="s">
        <v>1304</v>
      </c>
      <c r="F542" s="191"/>
      <c r="G542" s="85"/>
      <c r="H542" s="199" t="s">
        <v>1303</v>
      </c>
      <c r="I542" s="200"/>
      <c r="J542" s="85"/>
      <c r="K542" s="82" t="s">
        <v>1302</v>
      </c>
      <c r="L542" s="102">
        <f>IF(G542-J542&gt;300,"+5",IF(G542-J542&gt;=151,"+4",IF(G542-J542&gt;=101,"+3",IF(G542-J542&gt;=76,"+2",IF(G542-J542&gt;=51,"+1",0)))))</f>
        <v>0</v>
      </c>
      <c r="M542" s="82" t="s">
        <v>1010</v>
      </c>
      <c r="N542" s="107"/>
    </row>
    <row r="543" spans="1:14" ht="12.75">
      <c r="A543" s="153" t="s">
        <v>4</v>
      </c>
      <c r="B543" s="187"/>
      <c r="C543" s="187"/>
      <c r="D543" s="187"/>
      <c r="E543" s="187"/>
      <c r="F543" s="188"/>
      <c r="G543" s="189" t="s">
        <v>1299</v>
      </c>
      <c r="H543" s="190"/>
      <c r="I543" s="190"/>
      <c r="J543" s="190"/>
      <c r="K543" s="190"/>
      <c r="L543" s="191"/>
      <c r="M543" s="85"/>
      <c r="N543" s="120"/>
    </row>
    <row r="544" spans="1:14" ht="12.75">
      <c r="A544" s="192" t="s">
        <v>738</v>
      </c>
      <c r="B544" s="193"/>
      <c r="C544" s="79" t="s">
        <v>739</v>
      </c>
      <c r="D544" s="86"/>
      <c r="E544" s="80" t="s">
        <v>740</v>
      </c>
      <c r="F544" s="86"/>
      <c r="G544" s="80" t="s">
        <v>741</v>
      </c>
      <c r="H544" s="86"/>
      <c r="I544" s="80" t="s">
        <v>742</v>
      </c>
      <c r="J544" s="117"/>
      <c r="K544" s="182" t="s">
        <v>748</v>
      </c>
      <c r="L544" s="161"/>
      <c r="M544" s="162"/>
      <c r="N544" s="110"/>
    </row>
    <row r="545" spans="1:14" ht="12.75">
      <c r="A545" s="194"/>
      <c r="B545" s="195"/>
      <c r="C545" s="75" t="s">
        <v>743</v>
      </c>
      <c r="D545" s="87"/>
      <c r="E545" s="81" t="s">
        <v>744</v>
      </c>
      <c r="F545" s="87"/>
      <c r="G545" s="81" t="s">
        <v>745</v>
      </c>
      <c r="H545" s="87"/>
      <c r="I545" s="81" t="s">
        <v>746</v>
      </c>
      <c r="J545" s="100"/>
      <c r="K545" s="178" t="s">
        <v>756</v>
      </c>
      <c r="L545" s="178"/>
      <c r="M545" s="178"/>
      <c r="N545" s="110"/>
    </row>
    <row r="546" spans="1:14" ht="12.75">
      <c r="A546" s="179" t="s">
        <v>998</v>
      </c>
      <c r="B546" s="161"/>
      <c r="C546" s="162"/>
      <c r="D546" s="100"/>
      <c r="E546" s="178" t="s">
        <v>999</v>
      </c>
      <c r="F546" s="164"/>
      <c r="G546" s="164"/>
      <c r="H546" s="164"/>
      <c r="I546" s="164"/>
      <c r="J546" s="118">
        <f>IF(D544&gt;0,VLOOKUP(SUM(D544+F544+H544+J544+D545+F545+H545+J545),ShardsFound,2),0)+D546</f>
        <v>0</v>
      </c>
      <c r="K546" s="182" t="s">
        <v>524</v>
      </c>
      <c r="L546" s="162"/>
      <c r="M546" s="87"/>
      <c r="N546" s="109"/>
    </row>
    <row r="547" spans="1:14" ht="12.75">
      <c r="A547" s="153" t="s">
        <v>758</v>
      </c>
      <c r="B547" s="183"/>
      <c r="C547" s="183"/>
      <c r="D547" s="183"/>
      <c r="E547" s="184"/>
      <c r="F547" s="185"/>
      <c r="G547" s="51"/>
      <c r="H547" s="51"/>
      <c r="I547" s="51"/>
      <c r="J547" s="51"/>
      <c r="K547" s="78" t="s">
        <v>752</v>
      </c>
      <c r="L547" s="78"/>
      <c r="M547" s="78"/>
      <c r="N547" s="111">
        <f>IF(M546&gt;0,VLOOKUP(M546,Shards,VLOOKUP(M543,Warriors,2)),0)</f>
        <v>0</v>
      </c>
    </row>
    <row r="548" spans="1:14" ht="12.75">
      <c r="A548" s="179" t="s">
        <v>757</v>
      </c>
      <c r="B548" s="161"/>
      <c r="C548" s="161"/>
      <c r="D548" s="161"/>
      <c r="E548" s="453"/>
      <c r="F548" s="162"/>
      <c r="G548" s="178" t="s">
        <v>1308</v>
      </c>
      <c r="H548" s="178"/>
      <c r="I548" s="178"/>
      <c r="J548" s="100"/>
      <c r="K548" s="178" t="s">
        <v>6</v>
      </c>
      <c r="L548" s="164"/>
      <c r="M548" s="164"/>
      <c r="N548" s="151">
        <f>IF(I534="Able to Loot",IF(M539="No",D540*E548,0),0)</f>
        <v>0</v>
      </c>
    </row>
    <row r="549" spans="1:14" ht="12.75">
      <c r="A549" s="153" t="s">
        <v>749</v>
      </c>
      <c r="B549" s="180"/>
      <c r="C549" s="180"/>
      <c r="D549" s="180"/>
      <c r="E549" s="180"/>
      <c r="F549" s="181"/>
      <c r="G549" s="51"/>
      <c r="H549" s="51"/>
      <c r="I549" s="51"/>
      <c r="J549" s="51"/>
      <c r="K549" s="178" t="s">
        <v>755</v>
      </c>
      <c r="L549" s="178"/>
      <c r="M549" s="178"/>
      <c r="N549" s="111">
        <f>SUM(N547+N544+N548+N545)</f>
        <v>0</v>
      </c>
    </row>
    <row r="550" spans="1:14" ht="12.75">
      <c r="A550" s="179" t="s">
        <v>751</v>
      </c>
      <c r="B550" s="161"/>
      <c r="C550" s="161"/>
      <c r="D550" s="162"/>
      <c r="E550" s="86"/>
      <c r="F550" s="178" t="s">
        <v>754</v>
      </c>
      <c r="G550" s="178"/>
      <c r="H550" s="178"/>
      <c r="I550" s="87"/>
      <c r="J550" s="51"/>
      <c r="K550" s="51"/>
      <c r="L550" s="51"/>
      <c r="M550" s="51"/>
      <c r="N550" s="108"/>
    </row>
    <row r="551" spans="1:14" ht="12.75">
      <c r="A551" s="179" t="s">
        <v>750</v>
      </c>
      <c r="B551" s="161"/>
      <c r="C551" s="161"/>
      <c r="D551" s="162"/>
      <c r="E551" s="88"/>
      <c r="F551" s="51"/>
      <c r="G551" s="51"/>
      <c r="H551" s="51"/>
      <c r="I551" s="51"/>
      <c r="J551" s="51"/>
      <c r="K551" s="51"/>
      <c r="L551" s="51"/>
      <c r="M551" s="51"/>
      <c r="N551" s="108"/>
    </row>
    <row r="552" spans="1:14" ht="12.75">
      <c r="A552" s="163" t="s">
        <v>753</v>
      </c>
      <c r="B552" s="178"/>
      <c r="C552" s="178"/>
      <c r="D552" s="164"/>
      <c r="E552" s="87"/>
      <c r="F552" s="178" t="s">
        <v>5</v>
      </c>
      <c r="G552" s="164"/>
      <c r="H552" s="164"/>
      <c r="I552" s="164"/>
      <c r="J552" s="40">
        <f>SUM('Additional Members'!F$89+'Additional Members'!F$98+'Additional Members'!F$107+'Additional Members'!F$123+'Additional Members'!F$132)</f>
        <v>0</v>
      </c>
      <c r="K552" s="178" t="s">
        <v>1300</v>
      </c>
      <c r="L552" s="159"/>
      <c r="M552" s="159"/>
      <c r="N552" s="111">
        <f>SUM(E550+E551+E552+I550)</f>
        <v>0</v>
      </c>
    </row>
    <row r="553" spans="1:14" ht="12.75">
      <c r="A553" s="414" t="s">
        <v>532</v>
      </c>
      <c r="B553" s="183"/>
      <c r="C553" s="183"/>
      <c r="D553" s="183"/>
      <c r="E553" s="183"/>
      <c r="F553" s="183"/>
      <c r="G553" s="183"/>
      <c r="H553" s="183"/>
      <c r="I553" s="183"/>
      <c r="J553" s="183"/>
      <c r="K553" s="225"/>
      <c r="L553" s="415" t="s">
        <v>1001</v>
      </c>
      <c r="M553" s="161"/>
      <c r="N553" s="413"/>
    </row>
    <row r="554" spans="1:14" ht="12.75">
      <c r="A554" s="411"/>
      <c r="B554" s="161"/>
      <c r="C554" s="161"/>
      <c r="D554" s="161"/>
      <c r="E554" s="161"/>
      <c r="F554" s="161"/>
      <c r="G554" s="161"/>
      <c r="H554" s="161"/>
      <c r="I554" s="161"/>
      <c r="J554" s="161"/>
      <c r="K554" s="162"/>
      <c r="L554" s="412"/>
      <c r="M554" s="161"/>
      <c r="N554" s="413"/>
    </row>
    <row r="555" spans="1:14" ht="12.75">
      <c r="A555" s="411"/>
      <c r="B555" s="161"/>
      <c r="C555" s="161"/>
      <c r="D555" s="161"/>
      <c r="E555" s="161"/>
      <c r="F555" s="161"/>
      <c r="G555" s="161"/>
      <c r="H555" s="161"/>
      <c r="I555" s="161"/>
      <c r="J555" s="161"/>
      <c r="K555" s="162"/>
      <c r="L555" s="412"/>
      <c r="M555" s="161"/>
      <c r="N555" s="413"/>
    </row>
    <row r="556" spans="1:14" ht="12.75" customHeight="1">
      <c r="A556" s="411"/>
      <c r="B556" s="161"/>
      <c r="C556" s="161"/>
      <c r="D556" s="161"/>
      <c r="E556" s="161"/>
      <c r="F556" s="161"/>
      <c r="G556" s="161"/>
      <c r="H556" s="161"/>
      <c r="I556" s="161"/>
      <c r="J556" s="161"/>
      <c r="K556" s="162"/>
      <c r="L556" s="412"/>
      <c r="M556" s="161"/>
      <c r="N556" s="413"/>
    </row>
    <row r="557" spans="1:14" ht="12.75">
      <c r="A557" s="411"/>
      <c r="B557" s="161"/>
      <c r="C557" s="161"/>
      <c r="D557" s="161"/>
      <c r="E557" s="161"/>
      <c r="F557" s="161"/>
      <c r="G557" s="161"/>
      <c r="H557" s="161"/>
      <c r="I557" s="161"/>
      <c r="J557" s="161"/>
      <c r="K557" s="162"/>
      <c r="L557" s="412"/>
      <c r="M557" s="161"/>
      <c r="N557" s="413"/>
    </row>
    <row r="558" spans="1:14" ht="12.75">
      <c r="A558" s="411"/>
      <c r="B558" s="161"/>
      <c r="C558" s="161"/>
      <c r="D558" s="161"/>
      <c r="E558" s="161"/>
      <c r="F558" s="161"/>
      <c r="G558" s="161"/>
      <c r="H558" s="161"/>
      <c r="I558" s="161"/>
      <c r="J558" s="161"/>
      <c r="K558" s="162"/>
      <c r="L558" s="412"/>
      <c r="M558" s="161"/>
      <c r="N558" s="413"/>
    </row>
    <row r="559" spans="1:14" ht="12.75">
      <c r="A559" s="405"/>
      <c r="B559" s="406"/>
      <c r="C559" s="406"/>
      <c r="D559" s="406"/>
      <c r="E559" s="406"/>
      <c r="F559" s="406"/>
      <c r="G559" s="406"/>
      <c r="H559" s="406"/>
      <c r="I559" s="406"/>
      <c r="J559" s="406"/>
      <c r="K559" s="406"/>
      <c r="L559" s="407"/>
      <c r="M559" s="406"/>
      <c r="N559" s="408"/>
    </row>
    <row r="560" spans="1:14" ht="13.5" thickBot="1">
      <c r="A560" s="168" t="s">
        <v>1296</v>
      </c>
      <c r="B560" s="169"/>
      <c r="C560" s="170"/>
      <c r="D560" s="170"/>
      <c r="E560" s="170"/>
      <c r="F560" s="409"/>
      <c r="G560" s="409"/>
      <c r="H560" s="410"/>
      <c r="I560" s="410"/>
      <c r="J560" s="112"/>
      <c r="K560" s="113" t="s">
        <v>1000</v>
      </c>
      <c r="L560" s="113"/>
      <c r="M560" s="114"/>
      <c r="N560" s="115">
        <f>SUM(N549-N552)</f>
        <v>0</v>
      </c>
    </row>
    <row r="561" ht="12.75" customHeight="1" thickBot="1" thickTop="1"/>
    <row r="562" spans="1:14" ht="12.75" customHeight="1" thickTop="1">
      <c r="A562" s="424" t="s">
        <v>992</v>
      </c>
      <c r="B562" s="425"/>
      <c r="C562" s="426"/>
      <c r="D562" s="430">
        <f>D533+1</f>
        <v>19</v>
      </c>
      <c r="E562" s="431"/>
      <c r="F562" s="215" t="s">
        <v>997</v>
      </c>
      <c r="G562" s="216"/>
      <c r="H562" s="217"/>
      <c r="I562" s="416"/>
      <c r="J562" s="417"/>
      <c r="K562" s="417"/>
      <c r="L562" s="103" t="s">
        <v>993</v>
      </c>
      <c r="M562" s="418"/>
      <c r="N562" s="419"/>
    </row>
    <row r="563" spans="1:14" ht="12.75" customHeight="1">
      <c r="A563" s="427"/>
      <c r="B563" s="428"/>
      <c r="C563" s="429"/>
      <c r="D563" s="432"/>
      <c r="E563" s="433"/>
      <c r="F563" s="178" t="s">
        <v>996</v>
      </c>
      <c r="G563" s="178"/>
      <c r="H563" s="178"/>
      <c r="I563" s="407"/>
      <c r="J563" s="407"/>
      <c r="K563" s="407"/>
      <c r="L563" s="406"/>
      <c r="M563" s="101"/>
      <c r="N563" s="104"/>
    </row>
    <row r="564" spans="1:14" ht="12.75">
      <c r="A564" s="414" t="s">
        <v>1011</v>
      </c>
      <c r="B564" s="183"/>
      <c r="C564" s="183"/>
      <c r="D564" s="183"/>
      <c r="E564" s="183"/>
      <c r="F564" s="183"/>
      <c r="G564" s="183"/>
      <c r="H564" s="183"/>
      <c r="I564" s="183"/>
      <c r="J564" s="225"/>
      <c r="K564" s="83" t="s">
        <v>1006</v>
      </c>
      <c r="L564" s="90">
        <f>SUM(+IF(N565="Win",1,0)+IF(N566="Win",1,0)+IF(N567="win",1,0)+IF(N571="win",1,0))</f>
        <v>0</v>
      </c>
      <c r="M564" s="83" t="s">
        <v>1007</v>
      </c>
      <c r="N564" s="105">
        <f>SUM(+IF(N565="Loss",1,0)+IF(N566="Loss",1,0)+IF(N567="loss",1,0)+IF(N571="Loss",1,0))</f>
        <v>0</v>
      </c>
    </row>
    <row r="565" spans="1:14" ht="12.75">
      <c r="A565" s="106" t="s">
        <v>1009</v>
      </c>
      <c r="B565" s="434"/>
      <c r="C565" s="246"/>
      <c r="D565" s="247"/>
      <c r="E565" s="189" t="s">
        <v>1304</v>
      </c>
      <c r="F565" s="191"/>
      <c r="G565" s="85"/>
      <c r="H565" s="199" t="s">
        <v>1303</v>
      </c>
      <c r="I565" s="200"/>
      <c r="J565" s="85"/>
      <c r="K565" s="82" t="s">
        <v>1302</v>
      </c>
      <c r="L565" s="102">
        <f>IF(G565-J565&gt;300,"+5",IF(G565-J565&gt;=151,"+4",IF(G565-J565&gt;=101,"+3",IF(G565-J565&gt;=76,"+2",IF(G565-J565&gt;=51,"+1",0)))))</f>
        <v>0</v>
      </c>
      <c r="M565" s="82" t="s">
        <v>1010</v>
      </c>
      <c r="N565" s="107"/>
    </row>
    <row r="566" spans="1:14" ht="12.75">
      <c r="A566" s="106" t="s">
        <v>1009</v>
      </c>
      <c r="B566" s="434"/>
      <c r="C566" s="246"/>
      <c r="D566" s="247"/>
      <c r="E566" s="189" t="s">
        <v>1304</v>
      </c>
      <c r="F566" s="191"/>
      <c r="G566" s="85"/>
      <c r="H566" s="199" t="s">
        <v>1303</v>
      </c>
      <c r="I566" s="200"/>
      <c r="J566" s="85"/>
      <c r="K566" s="82" t="s">
        <v>1302</v>
      </c>
      <c r="L566" s="102">
        <f>IF(G566-J566&gt;300,"+5",IF(G566-J566&gt;=151,"+4",IF(G566-J566&gt;=101,"+3",IF(G566-J566&gt;=76,"+2",IF(G566-J566&gt;=51,"+1",0)))))</f>
        <v>0</v>
      </c>
      <c r="M566" s="82" t="s">
        <v>1010</v>
      </c>
      <c r="N566" s="107"/>
    </row>
    <row r="567" spans="1:14" ht="12.75">
      <c r="A567" s="106" t="s">
        <v>1009</v>
      </c>
      <c r="B567" s="434"/>
      <c r="C567" s="246"/>
      <c r="D567" s="247"/>
      <c r="E567" s="189" t="s">
        <v>1304</v>
      </c>
      <c r="F567" s="191"/>
      <c r="G567" s="85"/>
      <c r="H567" s="199" t="s">
        <v>1303</v>
      </c>
      <c r="I567" s="200"/>
      <c r="J567" s="85"/>
      <c r="K567" s="82" t="s">
        <v>1302</v>
      </c>
      <c r="L567" s="102">
        <f>IF(G567-J567&gt;300,"+5",IF(G567-J567&gt;=151,"+4",IF(G567-J567&gt;=101,"+3",IF(G567-J567&gt;=76,"+2",IF(G567-J567&gt;=51,"+1",0)))))</f>
        <v>0</v>
      </c>
      <c r="M567" s="82" t="s">
        <v>1010</v>
      </c>
      <c r="N567" s="107"/>
    </row>
    <row r="568" spans="1:14" ht="12.75">
      <c r="A568" s="201" t="s">
        <v>3</v>
      </c>
      <c r="B568" s="202"/>
      <c r="C568" s="202"/>
      <c r="D568" s="202"/>
      <c r="E568" s="202"/>
      <c r="F568" s="202"/>
      <c r="G568" s="51"/>
      <c r="H568" s="178" t="s">
        <v>0</v>
      </c>
      <c r="I568" s="164"/>
      <c r="J568" s="164"/>
      <c r="K568" s="164"/>
      <c r="L568" s="164"/>
      <c r="M568" s="116"/>
      <c r="N568" s="108"/>
    </row>
    <row r="569" spans="1:14" ht="12.75">
      <c r="A569" s="186" t="s">
        <v>1297</v>
      </c>
      <c r="B569" s="164"/>
      <c r="C569" s="164"/>
      <c r="D569" s="86"/>
      <c r="E569" s="51"/>
      <c r="F569" s="51"/>
      <c r="G569" s="51"/>
      <c r="H569" s="178" t="s">
        <v>1</v>
      </c>
      <c r="I569" s="164"/>
      <c r="J569" s="164"/>
      <c r="K569" s="164"/>
      <c r="L569" s="164"/>
      <c r="M569" s="403"/>
      <c r="N569" s="404"/>
    </row>
    <row r="570" spans="1:14" ht="12.75">
      <c r="A570" s="186" t="s">
        <v>1298</v>
      </c>
      <c r="B570" s="164"/>
      <c r="C570" s="164"/>
      <c r="D570" s="86"/>
      <c r="E570" s="51"/>
      <c r="F570" s="51"/>
      <c r="G570" s="51"/>
      <c r="H570" s="51"/>
      <c r="I570" s="51"/>
      <c r="J570" s="51"/>
      <c r="K570" s="51"/>
      <c r="L570" s="51"/>
      <c r="M570" s="51"/>
      <c r="N570" s="108"/>
    </row>
    <row r="571" spans="1:14" ht="12.75">
      <c r="A571" s="119" t="s">
        <v>1307</v>
      </c>
      <c r="B571" s="434"/>
      <c r="C571" s="246"/>
      <c r="D571" s="247"/>
      <c r="E571" s="189" t="s">
        <v>1304</v>
      </c>
      <c r="F571" s="191"/>
      <c r="G571" s="85"/>
      <c r="H571" s="199" t="s">
        <v>1303</v>
      </c>
      <c r="I571" s="200"/>
      <c r="J571" s="85"/>
      <c r="K571" s="82" t="s">
        <v>1302</v>
      </c>
      <c r="L571" s="102">
        <f>IF(G571-J571&gt;300,"+5",IF(G571-J571&gt;=151,"+4",IF(G571-J571&gt;=101,"+3",IF(G571-J571&gt;=76,"+2",IF(G571-J571&gt;=51,"+1",0)))))</f>
        <v>0</v>
      </c>
      <c r="M571" s="82" t="s">
        <v>1010</v>
      </c>
      <c r="N571" s="107"/>
    </row>
    <row r="572" spans="1:14" ht="12.75">
      <c r="A572" s="153" t="s">
        <v>4</v>
      </c>
      <c r="B572" s="187"/>
      <c r="C572" s="187"/>
      <c r="D572" s="187"/>
      <c r="E572" s="187"/>
      <c r="F572" s="188"/>
      <c r="G572" s="189" t="s">
        <v>1299</v>
      </c>
      <c r="H572" s="190"/>
      <c r="I572" s="190"/>
      <c r="J572" s="190"/>
      <c r="K572" s="190"/>
      <c r="L572" s="191"/>
      <c r="M572" s="85"/>
      <c r="N572" s="120"/>
    </row>
    <row r="573" spans="1:14" ht="12.75">
      <c r="A573" s="192" t="s">
        <v>738</v>
      </c>
      <c r="B573" s="193"/>
      <c r="C573" s="79" t="s">
        <v>739</v>
      </c>
      <c r="D573" s="86"/>
      <c r="E573" s="80" t="s">
        <v>740</v>
      </c>
      <c r="F573" s="86"/>
      <c r="G573" s="80" t="s">
        <v>741</v>
      </c>
      <c r="H573" s="86"/>
      <c r="I573" s="80" t="s">
        <v>742</v>
      </c>
      <c r="J573" s="117"/>
      <c r="K573" s="182" t="s">
        <v>748</v>
      </c>
      <c r="L573" s="161"/>
      <c r="M573" s="162"/>
      <c r="N573" s="110"/>
    </row>
    <row r="574" spans="1:14" ht="12.75">
      <c r="A574" s="194"/>
      <c r="B574" s="195"/>
      <c r="C574" s="75" t="s">
        <v>743</v>
      </c>
      <c r="D574" s="87"/>
      <c r="E574" s="81" t="s">
        <v>744</v>
      </c>
      <c r="F574" s="87"/>
      <c r="G574" s="81" t="s">
        <v>745</v>
      </c>
      <c r="H574" s="87"/>
      <c r="I574" s="81" t="s">
        <v>746</v>
      </c>
      <c r="J574" s="100"/>
      <c r="K574" s="178" t="s">
        <v>756</v>
      </c>
      <c r="L574" s="178"/>
      <c r="M574" s="178"/>
      <c r="N574" s="110"/>
    </row>
    <row r="575" spans="1:14" ht="12.75">
      <c r="A575" s="179" t="s">
        <v>998</v>
      </c>
      <c r="B575" s="161"/>
      <c r="C575" s="162"/>
      <c r="D575" s="100"/>
      <c r="E575" s="178" t="s">
        <v>999</v>
      </c>
      <c r="F575" s="164"/>
      <c r="G575" s="164"/>
      <c r="H575" s="164"/>
      <c r="I575" s="164"/>
      <c r="J575" s="118">
        <f>IF(D573&gt;0,VLOOKUP(SUM(D573+F573+H573+J573+D574+F574+H574+J574),ShardsFound,2),0)+D575</f>
        <v>0</v>
      </c>
      <c r="K575" s="182" t="s">
        <v>524</v>
      </c>
      <c r="L575" s="162"/>
      <c r="M575" s="87"/>
      <c r="N575" s="109"/>
    </row>
    <row r="576" spans="1:14" ht="12.75">
      <c r="A576" s="153" t="s">
        <v>758</v>
      </c>
      <c r="B576" s="183"/>
      <c r="C576" s="183"/>
      <c r="D576" s="183"/>
      <c r="E576" s="184"/>
      <c r="F576" s="185"/>
      <c r="G576" s="51"/>
      <c r="H576" s="51"/>
      <c r="I576" s="51"/>
      <c r="J576" s="51"/>
      <c r="K576" s="78" t="s">
        <v>752</v>
      </c>
      <c r="L576" s="78"/>
      <c r="M576" s="78"/>
      <c r="N576" s="111">
        <f>IF(M575&gt;0,VLOOKUP(M575,Shards,VLOOKUP(M572,Warriors,2)),0)</f>
        <v>0</v>
      </c>
    </row>
    <row r="577" spans="1:14" ht="12.75">
      <c r="A577" s="179" t="s">
        <v>757</v>
      </c>
      <c r="B577" s="161"/>
      <c r="C577" s="161"/>
      <c r="D577" s="161"/>
      <c r="E577" s="453"/>
      <c r="F577" s="162"/>
      <c r="G577" s="178" t="s">
        <v>1308</v>
      </c>
      <c r="H577" s="178"/>
      <c r="I577" s="178"/>
      <c r="J577" s="100"/>
      <c r="K577" s="178" t="s">
        <v>6</v>
      </c>
      <c r="L577" s="164"/>
      <c r="M577" s="164"/>
      <c r="N577" s="151">
        <f>IF(I563="Able to Loot",IF(M568="No",D569*E577,0),0)</f>
        <v>0</v>
      </c>
    </row>
    <row r="578" spans="1:14" ht="12.75">
      <c r="A578" s="153" t="s">
        <v>749</v>
      </c>
      <c r="B578" s="180"/>
      <c r="C578" s="180"/>
      <c r="D578" s="180"/>
      <c r="E578" s="180"/>
      <c r="F578" s="181"/>
      <c r="G578" s="51"/>
      <c r="H578" s="51"/>
      <c r="I578" s="51"/>
      <c r="J578" s="51"/>
      <c r="K578" s="178" t="s">
        <v>755</v>
      </c>
      <c r="L578" s="178"/>
      <c r="M578" s="178"/>
      <c r="N578" s="111">
        <f>SUM(N576+N573+N577+N574)</f>
        <v>0</v>
      </c>
    </row>
    <row r="579" spans="1:14" ht="12.75">
      <c r="A579" s="179" t="s">
        <v>751</v>
      </c>
      <c r="B579" s="161"/>
      <c r="C579" s="161"/>
      <c r="D579" s="162"/>
      <c r="E579" s="86"/>
      <c r="F579" s="178" t="s">
        <v>754</v>
      </c>
      <c r="G579" s="178"/>
      <c r="H579" s="178"/>
      <c r="I579" s="87"/>
      <c r="J579" s="51"/>
      <c r="K579" s="51"/>
      <c r="L579" s="51"/>
      <c r="M579" s="51"/>
      <c r="N579" s="108"/>
    </row>
    <row r="580" spans="1:14" ht="12.75">
      <c r="A580" s="179" t="s">
        <v>750</v>
      </c>
      <c r="B580" s="161"/>
      <c r="C580" s="161"/>
      <c r="D580" s="162"/>
      <c r="E580" s="88"/>
      <c r="F580" s="51"/>
      <c r="G580" s="51"/>
      <c r="H580" s="51"/>
      <c r="I580" s="51"/>
      <c r="J580" s="51"/>
      <c r="K580" s="51"/>
      <c r="L580" s="51"/>
      <c r="M580" s="51"/>
      <c r="N580" s="108"/>
    </row>
    <row r="581" spans="1:14" ht="12.75">
      <c r="A581" s="163" t="s">
        <v>753</v>
      </c>
      <c r="B581" s="178"/>
      <c r="C581" s="178"/>
      <c r="D581" s="164"/>
      <c r="E581" s="87"/>
      <c r="F581" s="178" t="s">
        <v>5</v>
      </c>
      <c r="G581" s="164"/>
      <c r="H581" s="164"/>
      <c r="I581" s="164"/>
      <c r="J581" s="40">
        <f>SUM('Additional Members'!F$89+'Additional Members'!F$98+'Additional Members'!F$107+'Additional Members'!F$123+'Additional Members'!F$132)</f>
        <v>0</v>
      </c>
      <c r="K581" s="178" t="s">
        <v>1300</v>
      </c>
      <c r="L581" s="159"/>
      <c r="M581" s="159"/>
      <c r="N581" s="111">
        <f>SUM(E579+E580+E581+I579)</f>
        <v>0</v>
      </c>
    </row>
    <row r="582" spans="1:14" ht="12.75">
      <c r="A582" s="414" t="s">
        <v>532</v>
      </c>
      <c r="B582" s="183"/>
      <c r="C582" s="183"/>
      <c r="D582" s="183"/>
      <c r="E582" s="183"/>
      <c r="F582" s="183"/>
      <c r="G582" s="183"/>
      <c r="H582" s="183"/>
      <c r="I582" s="183"/>
      <c r="J582" s="183"/>
      <c r="K582" s="225"/>
      <c r="L582" s="415" t="s">
        <v>1001</v>
      </c>
      <c r="M582" s="161"/>
      <c r="N582" s="413"/>
    </row>
    <row r="583" spans="1:14" ht="12.75">
      <c r="A583" s="411"/>
      <c r="B583" s="161"/>
      <c r="C583" s="161"/>
      <c r="D583" s="161"/>
      <c r="E583" s="161"/>
      <c r="F583" s="161"/>
      <c r="G583" s="161"/>
      <c r="H583" s="161"/>
      <c r="I583" s="161"/>
      <c r="J583" s="161"/>
      <c r="K583" s="162"/>
      <c r="L583" s="412"/>
      <c r="M583" s="161"/>
      <c r="N583" s="413"/>
    </row>
    <row r="584" spans="1:14" ht="12.75">
      <c r="A584" s="411"/>
      <c r="B584" s="161"/>
      <c r="C584" s="161"/>
      <c r="D584" s="161"/>
      <c r="E584" s="161"/>
      <c r="F584" s="161"/>
      <c r="G584" s="161"/>
      <c r="H584" s="161"/>
      <c r="I584" s="161"/>
      <c r="J584" s="161"/>
      <c r="K584" s="162"/>
      <c r="L584" s="412"/>
      <c r="M584" s="161"/>
      <c r="N584" s="413"/>
    </row>
    <row r="585" spans="1:14" ht="12.75">
      <c r="A585" s="411"/>
      <c r="B585" s="161"/>
      <c r="C585" s="161"/>
      <c r="D585" s="161"/>
      <c r="E585" s="161"/>
      <c r="F585" s="161"/>
      <c r="G585" s="161"/>
      <c r="H585" s="161"/>
      <c r="I585" s="161"/>
      <c r="J585" s="161"/>
      <c r="K585" s="162"/>
      <c r="L585" s="412"/>
      <c r="M585" s="161"/>
      <c r="N585" s="413"/>
    </row>
    <row r="586" spans="1:14" ht="12.75">
      <c r="A586" s="411"/>
      <c r="B586" s="161"/>
      <c r="C586" s="161"/>
      <c r="D586" s="161"/>
      <c r="E586" s="161"/>
      <c r="F586" s="161"/>
      <c r="G586" s="161"/>
      <c r="H586" s="161"/>
      <c r="I586" s="161"/>
      <c r="J586" s="161"/>
      <c r="K586" s="162"/>
      <c r="L586" s="412"/>
      <c r="M586" s="161"/>
      <c r="N586" s="413"/>
    </row>
    <row r="587" spans="1:14" ht="12.75">
      <c r="A587" s="411"/>
      <c r="B587" s="161"/>
      <c r="C587" s="161"/>
      <c r="D587" s="161"/>
      <c r="E587" s="161"/>
      <c r="F587" s="161"/>
      <c r="G587" s="161"/>
      <c r="H587" s="161"/>
      <c r="I587" s="161"/>
      <c r="J587" s="161"/>
      <c r="K587" s="162"/>
      <c r="L587" s="412"/>
      <c r="M587" s="161"/>
      <c r="N587" s="413"/>
    </row>
    <row r="588" spans="1:14" ht="12.75">
      <c r="A588" s="405"/>
      <c r="B588" s="406"/>
      <c r="C588" s="406"/>
      <c r="D588" s="406"/>
      <c r="E588" s="406"/>
      <c r="F588" s="406"/>
      <c r="G588" s="406"/>
      <c r="H588" s="406"/>
      <c r="I588" s="406"/>
      <c r="J588" s="406"/>
      <c r="K588" s="406"/>
      <c r="L588" s="407"/>
      <c r="M588" s="406"/>
      <c r="N588" s="408"/>
    </row>
    <row r="589" spans="1:14" ht="13.5" thickBot="1">
      <c r="A589" s="168" t="s">
        <v>1296</v>
      </c>
      <c r="B589" s="169"/>
      <c r="C589" s="170"/>
      <c r="D589" s="170"/>
      <c r="E589" s="170"/>
      <c r="F589" s="409"/>
      <c r="G589" s="409"/>
      <c r="H589" s="410"/>
      <c r="I589" s="410"/>
      <c r="J589" s="112"/>
      <c r="K589" s="113" t="s">
        <v>1000</v>
      </c>
      <c r="L589" s="113"/>
      <c r="M589" s="114"/>
      <c r="N589" s="115">
        <f>SUM(N578-N581)</f>
        <v>0</v>
      </c>
    </row>
    <row r="590" spans="1:14" ht="15.75" thickTop="1">
      <c r="A590" s="67" t="s">
        <v>1003</v>
      </c>
      <c r="B590" s="420">
        <f>SUBSTITUTE(Heroes!F$1,0,"")</f>
      </c>
      <c r="C590" s="421"/>
      <c r="D590" s="421"/>
      <c r="E590" s="422"/>
      <c r="F590" s="422"/>
      <c r="G590" s="422"/>
      <c r="H590" s="422"/>
      <c r="I590" s="422"/>
      <c r="J590" s="422"/>
      <c r="K590" s="422"/>
      <c r="L590" s="422"/>
      <c r="M590" s="422"/>
      <c r="N590" s="423"/>
    </row>
    <row r="591" ht="13.5" thickBot="1"/>
    <row r="592" spans="1:14" ht="12.75" customHeight="1" thickTop="1">
      <c r="A592" s="424" t="s">
        <v>992</v>
      </c>
      <c r="B592" s="425"/>
      <c r="C592" s="426"/>
      <c r="D592" s="430">
        <f>D533+2</f>
        <v>20</v>
      </c>
      <c r="E592" s="431"/>
      <c r="F592" s="215" t="s">
        <v>997</v>
      </c>
      <c r="G592" s="216"/>
      <c r="H592" s="217"/>
      <c r="I592" s="416"/>
      <c r="J592" s="417"/>
      <c r="K592" s="417"/>
      <c r="L592" s="103" t="s">
        <v>993</v>
      </c>
      <c r="M592" s="418"/>
      <c r="N592" s="419"/>
    </row>
    <row r="593" spans="1:14" ht="12.75" customHeight="1">
      <c r="A593" s="427"/>
      <c r="B593" s="428"/>
      <c r="C593" s="429"/>
      <c r="D593" s="432"/>
      <c r="E593" s="433"/>
      <c r="F593" s="178" t="s">
        <v>996</v>
      </c>
      <c r="G593" s="178"/>
      <c r="H593" s="178"/>
      <c r="I593" s="407"/>
      <c r="J593" s="407"/>
      <c r="K593" s="407"/>
      <c r="L593" s="406"/>
      <c r="M593" s="101"/>
      <c r="N593" s="104"/>
    </row>
    <row r="594" spans="1:14" ht="12.75">
      <c r="A594" s="414" t="s">
        <v>1011</v>
      </c>
      <c r="B594" s="183"/>
      <c r="C594" s="183"/>
      <c r="D594" s="183"/>
      <c r="E594" s="183"/>
      <c r="F594" s="183"/>
      <c r="G594" s="183"/>
      <c r="H594" s="183"/>
      <c r="I594" s="183"/>
      <c r="J594" s="225"/>
      <c r="K594" s="83" t="s">
        <v>1006</v>
      </c>
      <c r="L594" s="90">
        <f>SUM(+IF(N595="Win",1,0)+IF(N596="Win",1,0)+IF(N597="win",1,0)+IF(N601="win",1,0))</f>
        <v>0</v>
      </c>
      <c r="M594" s="83" t="s">
        <v>1007</v>
      </c>
      <c r="N594" s="105">
        <f>SUM(+IF(N595="Loss",1,0)+IF(N596="Loss",1,0)+IF(N597="loss",1,0)+IF(N601="Loss",1,0))</f>
        <v>0</v>
      </c>
    </row>
    <row r="595" spans="1:14" ht="12.75">
      <c r="A595" s="106" t="s">
        <v>1009</v>
      </c>
      <c r="B595" s="434"/>
      <c r="C595" s="246"/>
      <c r="D595" s="247"/>
      <c r="E595" s="189" t="s">
        <v>1304</v>
      </c>
      <c r="F595" s="191"/>
      <c r="G595" s="85"/>
      <c r="H595" s="199" t="s">
        <v>1303</v>
      </c>
      <c r="I595" s="200"/>
      <c r="J595" s="85"/>
      <c r="K595" s="82" t="s">
        <v>1302</v>
      </c>
      <c r="L595" s="102">
        <f>IF(G595-J595&gt;300,"+5",IF(G595-J595&gt;=151,"+4",IF(G595-J595&gt;=101,"+3",IF(G595-J595&gt;=76,"+2",IF(G595-J595&gt;=51,"+1",0)))))</f>
        <v>0</v>
      </c>
      <c r="M595" s="82" t="s">
        <v>1010</v>
      </c>
      <c r="N595" s="107"/>
    </row>
    <row r="596" spans="1:14" ht="12.75">
      <c r="A596" s="106" t="s">
        <v>1009</v>
      </c>
      <c r="B596" s="434"/>
      <c r="C596" s="246"/>
      <c r="D596" s="247"/>
      <c r="E596" s="189" t="s">
        <v>1304</v>
      </c>
      <c r="F596" s="191"/>
      <c r="G596" s="85"/>
      <c r="H596" s="199" t="s">
        <v>1303</v>
      </c>
      <c r="I596" s="200"/>
      <c r="J596" s="85"/>
      <c r="K596" s="82" t="s">
        <v>1302</v>
      </c>
      <c r="L596" s="102">
        <f>IF(G596-J596&gt;300,"+5",IF(G596-J596&gt;=151,"+4",IF(G596-J596&gt;=101,"+3",IF(G596-J596&gt;=76,"+2",IF(G596-J596&gt;=51,"+1",0)))))</f>
        <v>0</v>
      </c>
      <c r="M596" s="82" t="s">
        <v>1010</v>
      </c>
      <c r="N596" s="107"/>
    </row>
    <row r="597" spans="1:14" ht="12.75">
      <c r="A597" s="106" t="s">
        <v>1009</v>
      </c>
      <c r="B597" s="434"/>
      <c r="C597" s="246"/>
      <c r="D597" s="247"/>
      <c r="E597" s="189" t="s">
        <v>1304</v>
      </c>
      <c r="F597" s="191"/>
      <c r="G597" s="85"/>
      <c r="H597" s="199" t="s">
        <v>1303</v>
      </c>
      <c r="I597" s="200"/>
      <c r="J597" s="85"/>
      <c r="K597" s="82" t="s">
        <v>1302</v>
      </c>
      <c r="L597" s="102">
        <f>IF(G597-J597&gt;300,"+5",IF(G597-J597&gt;=151,"+4",IF(G597-J597&gt;=101,"+3",IF(G597-J597&gt;=76,"+2",IF(G597-J597&gt;=51,"+1",0)))))</f>
        <v>0</v>
      </c>
      <c r="M597" s="82" t="s">
        <v>1010</v>
      </c>
      <c r="N597" s="107"/>
    </row>
    <row r="598" spans="1:14" ht="12.75">
      <c r="A598" s="201" t="s">
        <v>3</v>
      </c>
      <c r="B598" s="202"/>
      <c r="C598" s="202"/>
      <c r="D598" s="202"/>
      <c r="E598" s="202"/>
      <c r="F598" s="202"/>
      <c r="G598" s="51"/>
      <c r="H598" s="178" t="s">
        <v>0</v>
      </c>
      <c r="I598" s="164"/>
      <c r="J598" s="164"/>
      <c r="K598" s="164"/>
      <c r="L598" s="164"/>
      <c r="M598" s="116"/>
      <c r="N598" s="108"/>
    </row>
    <row r="599" spans="1:14" ht="12.75">
      <c r="A599" s="186" t="s">
        <v>1297</v>
      </c>
      <c r="B599" s="164"/>
      <c r="C599" s="164"/>
      <c r="D599" s="86"/>
      <c r="E599" s="51"/>
      <c r="F599" s="51"/>
      <c r="G599" s="51"/>
      <c r="H599" s="178" t="s">
        <v>1</v>
      </c>
      <c r="I599" s="164"/>
      <c r="J599" s="164"/>
      <c r="K599" s="164"/>
      <c r="L599" s="164"/>
      <c r="M599" s="403"/>
      <c r="N599" s="404"/>
    </row>
    <row r="600" spans="1:14" ht="12.75">
      <c r="A600" s="186" t="s">
        <v>1298</v>
      </c>
      <c r="B600" s="164"/>
      <c r="C600" s="164"/>
      <c r="D600" s="86"/>
      <c r="E600" s="51"/>
      <c r="F600" s="51"/>
      <c r="G600" s="51"/>
      <c r="H600" s="51"/>
      <c r="I600" s="51"/>
      <c r="J600" s="51"/>
      <c r="K600" s="51"/>
      <c r="L600" s="51"/>
      <c r="M600" s="51"/>
      <c r="N600" s="108"/>
    </row>
    <row r="601" spans="1:14" ht="12.75">
      <c r="A601" s="119" t="s">
        <v>1307</v>
      </c>
      <c r="B601" s="434"/>
      <c r="C601" s="246"/>
      <c r="D601" s="247"/>
      <c r="E601" s="189" t="s">
        <v>1304</v>
      </c>
      <c r="F601" s="191"/>
      <c r="G601" s="85"/>
      <c r="H601" s="199" t="s">
        <v>1303</v>
      </c>
      <c r="I601" s="200"/>
      <c r="J601" s="85"/>
      <c r="K601" s="82" t="s">
        <v>1302</v>
      </c>
      <c r="L601" s="102">
        <f>IF(G601-J601&gt;300,"+5",IF(G601-J601&gt;=151,"+4",IF(G601-J601&gt;=101,"+3",IF(G601-J601&gt;=76,"+2",IF(G601-J601&gt;=51,"+1",0)))))</f>
        <v>0</v>
      </c>
      <c r="M601" s="82" t="s">
        <v>1010</v>
      </c>
      <c r="N601" s="107"/>
    </row>
    <row r="602" spans="1:14" ht="12.75">
      <c r="A602" s="153" t="s">
        <v>4</v>
      </c>
      <c r="B602" s="187"/>
      <c r="C602" s="187"/>
      <c r="D602" s="187"/>
      <c r="E602" s="187"/>
      <c r="F602" s="188"/>
      <c r="G602" s="189" t="s">
        <v>1299</v>
      </c>
      <c r="H602" s="190"/>
      <c r="I602" s="190"/>
      <c r="J602" s="190"/>
      <c r="K602" s="190"/>
      <c r="L602" s="191"/>
      <c r="M602" s="85"/>
      <c r="N602" s="120"/>
    </row>
    <row r="603" spans="1:14" ht="12.75">
      <c r="A603" s="192" t="s">
        <v>738</v>
      </c>
      <c r="B603" s="193"/>
      <c r="C603" s="79" t="s">
        <v>739</v>
      </c>
      <c r="D603" s="86"/>
      <c r="E603" s="80" t="s">
        <v>740</v>
      </c>
      <c r="F603" s="86"/>
      <c r="G603" s="80" t="s">
        <v>741</v>
      </c>
      <c r="H603" s="86"/>
      <c r="I603" s="80" t="s">
        <v>742</v>
      </c>
      <c r="J603" s="117"/>
      <c r="K603" s="182" t="s">
        <v>748</v>
      </c>
      <c r="L603" s="161"/>
      <c r="M603" s="162"/>
      <c r="N603" s="110"/>
    </row>
    <row r="604" spans="1:14" ht="12.75">
      <c r="A604" s="194"/>
      <c r="B604" s="195"/>
      <c r="C604" s="75" t="s">
        <v>743</v>
      </c>
      <c r="D604" s="87"/>
      <c r="E604" s="81" t="s">
        <v>744</v>
      </c>
      <c r="F604" s="87"/>
      <c r="G604" s="81" t="s">
        <v>745</v>
      </c>
      <c r="H604" s="87"/>
      <c r="I604" s="81" t="s">
        <v>746</v>
      </c>
      <c r="J604" s="100"/>
      <c r="K604" s="178" t="s">
        <v>756</v>
      </c>
      <c r="L604" s="178"/>
      <c r="M604" s="178"/>
      <c r="N604" s="110"/>
    </row>
    <row r="605" spans="1:14" ht="12.75">
      <c r="A605" s="179" t="s">
        <v>998</v>
      </c>
      <c r="B605" s="161"/>
      <c r="C605" s="162"/>
      <c r="D605" s="100"/>
      <c r="E605" s="178" t="s">
        <v>999</v>
      </c>
      <c r="F605" s="164"/>
      <c r="G605" s="164"/>
      <c r="H605" s="164"/>
      <c r="I605" s="164"/>
      <c r="J605" s="118">
        <f>IF(D603&gt;0,VLOOKUP(SUM(D603+F603+H603+J603+D604+F604+H604+J604),ShardsFound,2),0)+D605</f>
        <v>0</v>
      </c>
      <c r="K605" s="182" t="s">
        <v>524</v>
      </c>
      <c r="L605" s="162"/>
      <c r="M605" s="87"/>
      <c r="N605" s="109"/>
    </row>
    <row r="606" spans="1:14" ht="12.75">
      <c r="A606" s="153" t="s">
        <v>758</v>
      </c>
      <c r="B606" s="183"/>
      <c r="C606" s="183"/>
      <c r="D606" s="183"/>
      <c r="E606" s="184"/>
      <c r="F606" s="185"/>
      <c r="G606" s="51"/>
      <c r="H606" s="51"/>
      <c r="I606" s="51"/>
      <c r="J606" s="51"/>
      <c r="K606" s="78" t="s">
        <v>752</v>
      </c>
      <c r="L606" s="78"/>
      <c r="M606" s="78"/>
      <c r="N606" s="111">
        <f>IF(M605&gt;0,VLOOKUP(M605,Shards,VLOOKUP(M602,Warriors,2)),0)</f>
        <v>0</v>
      </c>
    </row>
    <row r="607" spans="1:14" ht="12.75">
      <c r="A607" s="179" t="s">
        <v>757</v>
      </c>
      <c r="B607" s="161"/>
      <c r="C607" s="161"/>
      <c r="D607" s="161"/>
      <c r="E607" s="453"/>
      <c r="F607" s="162"/>
      <c r="G607" s="178" t="s">
        <v>1308</v>
      </c>
      <c r="H607" s="178"/>
      <c r="I607" s="178"/>
      <c r="J607" s="100"/>
      <c r="K607" s="178" t="s">
        <v>6</v>
      </c>
      <c r="L607" s="164"/>
      <c r="M607" s="164"/>
      <c r="N607" s="151">
        <f>IF(I593="Able to Loot",IF(M598="No",D599*E607,0),0)</f>
        <v>0</v>
      </c>
    </row>
    <row r="608" spans="1:14" ht="12.75">
      <c r="A608" s="153" t="s">
        <v>749</v>
      </c>
      <c r="B608" s="180"/>
      <c r="C608" s="180"/>
      <c r="D608" s="180"/>
      <c r="E608" s="180"/>
      <c r="F608" s="181"/>
      <c r="G608" s="51"/>
      <c r="H608" s="51"/>
      <c r="I608" s="51"/>
      <c r="J608" s="51"/>
      <c r="K608" s="178" t="s">
        <v>755</v>
      </c>
      <c r="L608" s="178"/>
      <c r="M608" s="178"/>
      <c r="N608" s="111">
        <f>SUM(N606+N603+N607+N604)</f>
        <v>0</v>
      </c>
    </row>
    <row r="609" spans="1:14" ht="12.75">
      <c r="A609" s="179" t="s">
        <v>751</v>
      </c>
      <c r="B609" s="161"/>
      <c r="C609" s="161"/>
      <c r="D609" s="162"/>
      <c r="E609" s="86"/>
      <c r="F609" s="178" t="s">
        <v>754</v>
      </c>
      <c r="G609" s="178"/>
      <c r="H609" s="178"/>
      <c r="I609" s="87"/>
      <c r="J609" s="51"/>
      <c r="K609" s="51"/>
      <c r="L609" s="51"/>
      <c r="M609" s="51"/>
      <c r="N609" s="108"/>
    </row>
    <row r="610" spans="1:14" ht="12.75">
      <c r="A610" s="179" t="s">
        <v>750</v>
      </c>
      <c r="B610" s="161"/>
      <c r="C610" s="161"/>
      <c r="D610" s="162"/>
      <c r="E610" s="88"/>
      <c r="F610" s="51"/>
      <c r="G610" s="51"/>
      <c r="H610" s="51"/>
      <c r="I610" s="51"/>
      <c r="J610" s="51"/>
      <c r="K610" s="51"/>
      <c r="L610" s="51"/>
      <c r="M610" s="51"/>
      <c r="N610" s="108"/>
    </row>
    <row r="611" spans="1:14" ht="12.75">
      <c r="A611" s="163" t="s">
        <v>753</v>
      </c>
      <c r="B611" s="178"/>
      <c r="C611" s="178"/>
      <c r="D611" s="164"/>
      <c r="E611" s="87"/>
      <c r="F611" s="178" t="s">
        <v>5</v>
      </c>
      <c r="G611" s="164"/>
      <c r="H611" s="164"/>
      <c r="I611" s="164"/>
      <c r="J611" s="40">
        <f>SUM('Additional Members'!F$89+'Additional Members'!F$98+'Additional Members'!F$107+'Additional Members'!F$123+'Additional Members'!F$132)</f>
        <v>0</v>
      </c>
      <c r="K611" s="178" t="s">
        <v>1300</v>
      </c>
      <c r="L611" s="159"/>
      <c r="M611" s="159"/>
      <c r="N611" s="111">
        <f>SUM(E609+E610+E611+I609)</f>
        <v>0</v>
      </c>
    </row>
    <row r="612" spans="1:14" ht="12.75">
      <c r="A612" s="414" t="s">
        <v>532</v>
      </c>
      <c r="B612" s="183"/>
      <c r="C612" s="183"/>
      <c r="D612" s="183"/>
      <c r="E612" s="183"/>
      <c r="F612" s="183"/>
      <c r="G612" s="183"/>
      <c r="H612" s="183"/>
      <c r="I612" s="183"/>
      <c r="J612" s="183"/>
      <c r="K612" s="225"/>
      <c r="L612" s="415" t="s">
        <v>1001</v>
      </c>
      <c r="M612" s="161"/>
      <c r="N612" s="413"/>
    </row>
    <row r="613" spans="1:14" ht="12.75">
      <c r="A613" s="411"/>
      <c r="B613" s="161"/>
      <c r="C613" s="161"/>
      <c r="D613" s="161"/>
      <c r="E613" s="161"/>
      <c r="F613" s="161"/>
      <c r="G613" s="161"/>
      <c r="H613" s="161"/>
      <c r="I613" s="161"/>
      <c r="J613" s="161"/>
      <c r="K613" s="162"/>
      <c r="L613" s="412"/>
      <c r="M613" s="161"/>
      <c r="N613" s="413"/>
    </row>
    <row r="614" spans="1:14" ht="12.75">
      <c r="A614" s="411"/>
      <c r="B614" s="161"/>
      <c r="C614" s="161"/>
      <c r="D614" s="161"/>
      <c r="E614" s="161"/>
      <c r="F614" s="161"/>
      <c r="G614" s="161"/>
      <c r="H614" s="161"/>
      <c r="I614" s="161"/>
      <c r="J614" s="161"/>
      <c r="K614" s="162"/>
      <c r="L614" s="412"/>
      <c r="M614" s="161"/>
      <c r="N614" s="413"/>
    </row>
    <row r="615" spans="1:14" ht="12.75" customHeight="1">
      <c r="A615" s="411"/>
      <c r="B615" s="161"/>
      <c r="C615" s="161"/>
      <c r="D615" s="161"/>
      <c r="E615" s="161"/>
      <c r="F615" s="161"/>
      <c r="G615" s="161"/>
      <c r="H615" s="161"/>
      <c r="I615" s="161"/>
      <c r="J615" s="161"/>
      <c r="K615" s="162"/>
      <c r="L615" s="412"/>
      <c r="M615" s="161"/>
      <c r="N615" s="413"/>
    </row>
    <row r="616" spans="1:14" ht="12.75">
      <c r="A616" s="411"/>
      <c r="B616" s="161"/>
      <c r="C616" s="161"/>
      <c r="D616" s="161"/>
      <c r="E616" s="161"/>
      <c r="F616" s="161"/>
      <c r="G616" s="161"/>
      <c r="H616" s="161"/>
      <c r="I616" s="161"/>
      <c r="J616" s="161"/>
      <c r="K616" s="162"/>
      <c r="L616" s="412"/>
      <c r="M616" s="161"/>
      <c r="N616" s="413"/>
    </row>
    <row r="617" spans="1:14" ht="12.75">
      <c r="A617" s="411"/>
      <c r="B617" s="161"/>
      <c r="C617" s="161"/>
      <c r="D617" s="161"/>
      <c r="E617" s="161"/>
      <c r="F617" s="161"/>
      <c r="G617" s="161"/>
      <c r="H617" s="161"/>
      <c r="I617" s="161"/>
      <c r="J617" s="161"/>
      <c r="K617" s="162"/>
      <c r="L617" s="412"/>
      <c r="M617" s="161"/>
      <c r="N617" s="413"/>
    </row>
    <row r="618" spans="1:14" ht="12.75">
      <c r="A618" s="405"/>
      <c r="B618" s="406"/>
      <c r="C618" s="406"/>
      <c r="D618" s="406"/>
      <c r="E618" s="406"/>
      <c r="F618" s="406"/>
      <c r="G618" s="406"/>
      <c r="H618" s="406"/>
      <c r="I618" s="406"/>
      <c r="J618" s="406"/>
      <c r="K618" s="406"/>
      <c r="L618" s="407"/>
      <c r="M618" s="406"/>
      <c r="N618" s="408"/>
    </row>
    <row r="619" spans="1:14" ht="13.5" thickBot="1">
      <c r="A619" s="168" t="s">
        <v>1296</v>
      </c>
      <c r="B619" s="169"/>
      <c r="C619" s="170"/>
      <c r="D619" s="170"/>
      <c r="E619" s="170"/>
      <c r="F619" s="409"/>
      <c r="G619" s="409"/>
      <c r="H619" s="410"/>
      <c r="I619" s="410"/>
      <c r="J619" s="112"/>
      <c r="K619" s="113" t="s">
        <v>1000</v>
      </c>
      <c r="L619" s="113"/>
      <c r="M619" s="114"/>
      <c r="N619" s="115">
        <f>SUM(N608-N611)</f>
        <v>0</v>
      </c>
    </row>
    <row r="620" ht="12.75" customHeight="1" thickBot="1" thickTop="1"/>
    <row r="621" spans="1:14" ht="12.75" customHeight="1" thickTop="1">
      <c r="A621" s="424" t="s">
        <v>992</v>
      </c>
      <c r="B621" s="425"/>
      <c r="C621" s="426"/>
      <c r="D621" s="430">
        <f>D592+1</f>
        <v>21</v>
      </c>
      <c r="E621" s="431"/>
      <c r="F621" s="215" t="s">
        <v>997</v>
      </c>
      <c r="G621" s="216"/>
      <c r="H621" s="217"/>
      <c r="I621" s="416"/>
      <c r="J621" s="417"/>
      <c r="K621" s="417"/>
      <c r="L621" s="103" t="s">
        <v>993</v>
      </c>
      <c r="M621" s="418"/>
      <c r="N621" s="419"/>
    </row>
    <row r="622" spans="1:14" ht="12.75" customHeight="1">
      <c r="A622" s="427"/>
      <c r="B622" s="428"/>
      <c r="C622" s="429"/>
      <c r="D622" s="432"/>
      <c r="E622" s="433"/>
      <c r="F622" s="178" t="s">
        <v>996</v>
      </c>
      <c r="G622" s="178"/>
      <c r="H622" s="178"/>
      <c r="I622" s="407"/>
      <c r="J622" s="407"/>
      <c r="K622" s="407"/>
      <c r="L622" s="406"/>
      <c r="M622" s="101"/>
      <c r="N622" s="104"/>
    </row>
    <row r="623" spans="1:14" ht="12.75">
      <c r="A623" s="414" t="s">
        <v>1011</v>
      </c>
      <c r="B623" s="183"/>
      <c r="C623" s="183"/>
      <c r="D623" s="183"/>
      <c r="E623" s="183"/>
      <c r="F623" s="183"/>
      <c r="G623" s="183"/>
      <c r="H623" s="183"/>
      <c r="I623" s="183"/>
      <c r="J623" s="225"/>
      <c r="K623" s="83" t="s">
        <v>1006</v>
      </c>
      <c r="L623" s="90">
        <f>SUM(+IF(N624="Win",1,0)+IF(N625="Win",1,0)+IF(N626="win",1,0)+IF(N630="win",1,0))</f>
        <v>0</v>
      </c>
      <c r="M623" s="83" t="s">
        <v>1007</v>
      </c>
      <c r="N623" s="105">
        <f>SUM(+IF(N624="Loss",1,0)+IF(N625="Loss",1,0)+IF(N626="loss",1,0)+IF(N630="Loss",1,0))</f>
        <v>0</v>
      </c>
    </row>
    <row r="624" spans="1:14" ht="12.75">
      <c r="A624" s="106" t="s">
        <v>1009</v>
      </c>
      <c r="B624" s="434"/>
      <c r="C624" s="246"/>
      <c r="D624" s="247"/>
      <c r="E624" s="189" t="s">
        <v>1304</v>
      </c>
      <c r="F624" s="191"/>
      <c r="G624" s="85"/>
      <c r="H624" s="199" t="s">
        <v>1303</v>
      </c>
      <c r="I624" s="200"/>
      <c r="J624" s="85"/>
      <c r="K624" s="82" t="s">
        <v>1302</v>
      </c>
      <c r="L624" s="102">
        <f>IF(G624-J624&gt;300,"+5",IF(G624-J624&gt;=151,"+4",IF(G624-J624&gt;=101,"+3",IF(G624-J624&gt;=76,"+2",IF(G624-J624&gt;=51,"+1",0)))))</f>
        <v>0</v>
      </c>
      <c r="M624" s="82" t="s">
        <v>1010</v>
      </c>
      <c r="N624" s="107"/>
    </row>
    <row r="625" spans="1:14" ht="12.75">
      <c r="A625" s="106" t="s">
        <v>1009</v>
      </c>
      <c r="B625" s="434"/>
      <c r="C625" s="246"/>
      <c r="D625" s="247"/>
      <c r="E625" s="189" t="s">
        <v>1304</v>
      </c>
      <c r="F625" s="191"/>
      <c r="G625" s="85"/>
      <c r="H625" s="199" t="s">
        <v>1303</v>
      </c>
      <c r="I625" s="200"/>
      <c r="J625" s="85"/>
      <c r="K625" s="82" t="s">
        <v>1302</v>
      </c>
      <c r="L625" s="102">
        <f>IF(G625-J625&gt;300,"+5",IF(G625-J625&gt;=151,"+4",IF(G625-J625&gt;=101,"+3",IF(G625-J625&gt;=76,"+2",IF(G625-J625&gt;=51,"+1",0)))))</f>
        <v>0</v>
      </c>
      <c r="M625" s="82" t="s">
        <v>1010</v>
      </c>
      <c r="N625" s="107"/>
    </row>
    <row r="626" spans="1:14" ht="12.75">
      <c r="A626" s="106" t="s">
        <v>1009</v>
      </c>
      <c r="B626" s="434"/>
      <c r="C626" s="246"/>
      <c r="D626" s="247"/>
      <c r="E626" s="189" t="s">
        <v>1304</v>
      </c>
      <c r="F626" s="191"/>
      <c r="G626" s="85"/>
      <c r="H626" s="199" t="s">
        <v>1303</v>
      </c>
      <c r="I626" s="200"/>
      <c r="J626" s="85"/>
      <c r="K626" s="82" t="s">
        <v>1302</v>
      </c>
      <c r="L626" s="102">
        <f>IF(G626-J626&gt;300,"+5",IF(G626-J626&gt;=151,"+4",IF(G626-J626&gt;=101,"+3",IF(G626-J626&gt;=76,"+2",IF(G626-J626&gt;=51,"+1",0)))))</f>
        <v>0</v>
      </c>
      <c r="M626" s="82" t="s">
        <v>1010</v>
      </c>
      <c r="N626" s="107"/>
    </row>
    <row r="627" spans="1:14" ht="12.75">
      <c r="A627" s="201" t="s">
        <v>3</v>
      </c>
      <c r="B627" s="202"/>
      <c r="C627" s="202"/>
      <c r="D627" s="202"/>
      <c r="E627" s="202"/>
      <c r="F627" s="202"/>
      <c r="G627" s="51"/>
      <c r="H627" s="178" t="s">
        <v>0</v>
      </c>
      <c r="I627" s="164"/>
      <c r="J627" s="164"/>
      <c r="K627" s="164"/>
      <c r="L627" s="164"/>
      <c r="M627" s="116"/>
      <c r="N627" s="108"/>
    </row>
    <row r="628" spans="1:14" ht="12.75">
      <c r="A628" s="186" t="s">
        <v>1297</v>
      </c>
      <c r="B628" s="164"/>
      <c r="C628" s="164"/>
      <c r="D628" s="86"/>
      <c r="E628" s="51"/>
      <c r="F628" s="51"/>
      <c r="G628" s="51"/>
      <c r="H628" s="178" t="s">
        <v>1</v>
      </c>
      <c r="I628" s="164"/>
      <c r="J628" s="164"/>
      <c r="K628" s="164"/>
      <c r="L628" s="164"/>
      <c r="M628" s="403"/>
      <c r="N628" s="404"/>
    </row>
    <row r="629" spans="1:14" ht="12.75">
      <c r="A629" s="186" t="s">
        <v>1298</v>
      </c>
      <c r="B629" s="164"/>
      <c r="C629" s="164"/>
      <c r="D629" s="86"/>
      <c r="E629" s="51"/>
      <c r="F629" s="51"/>
      <c r="G629" s="51"/>
      <c r="H629" s="51"/>
      <c r="I629" s="51"/>
      <c r="J629" s="51"/>
      <c r="K629" s="51"/>
      <c r="L629" s="51"/>
      <c r="M629" s="51"/>
      <c r="N629" s="108"/>
    </row>
    <row r="630" spans="1:14" ht="12.75">
      <c r="A630" s="119" t="s">
        <v>1307</v>
      </c>
      <c r="B630" s="434"/>
      <c r="C630" s="246"/>
      <c r="D630" s="247"/>
      <c r="E630" s="189" t="s">
        <v>1304</v>
      </c>
      <c r="F630" s="191"/>
      <c r="G630" s="85"/>
      <c r="H630" s="199" t="s">
        <v>1303</v>
      </c>
      <c r="I630" s="200"/>
      <c r="J630" s="85"/>
      <c r="K630" s="82" t="s">
        <v>1302</v>
      </c>
      <c r="L630" s="102">
        <f>IF(G630-J630&gt;300,"+5",IF(G630-J630&gt;=151,"+4",IF(G630-J630&gt;=101,"+3",IF(G630-J630&gt;=76,"+2",IF(G630-J630&gt;=51,"+1",0)))))</f>
        <v>0</v>
      </c>
      <c r="M630" s="82" t="s">
        <v>1010</v>
      </c>
      <c r="N630" s="107"/>
    </row>
    <row r="631" spans="1:14" ht="12.75">
      <c r="A631" s="153" t="s">
        <v>4</v>
      </c>
      <c r="B631" s="187"/>
      <c r="C631" s="187"/>
      <c r="D631" s="187"/>
      <c r="E631" s="187"/>
      <c r="F631" s="188"/>
      <c r="G631" s="189" t="s">
        <v>1299</v>
      </c>
      <c r="H631" s="190"/>
      <c r="I631" s="190"/>
      <c r="J631" s="190"/>
      <c r="K631" s="190"/>
      <c r="L631" s="191"/>
      <c r="M631" s="85"/>
      <c r="N631" s="120"/>
    </row>
    <row r="632" spans="1:14" ht="12.75">
      <c r="A632" s="192" t="s">
        <v>738</v>
      </c>
      <c r="B632" s="193"/>
      <c r="C632" s="79" t="s">
        <v>739</v>
      </c>
      <c r="D632" s="86"/>
      <c r="E632" s="80" t="s">
        <v>740</v>
      </c>
      <c r="F632" s="86"/>
      <c r="G632" s="80" t="s">
        <v>741</v>
      </c>
      <c r="H632" s="86"/>
      <c r="I632" s="80" t="s">
        <v>742</v>
      </c>
      <c r="J632" s="117"/>
      <c r="K632" s="182" t="s">
        <v>748</v>
      </c>
      <c r="L632" s="161"/>
      <c r="M632" s="162"/>
      <c r="N632" s="110"/>
    </row>
    <row r="633" spans="1:14" ht="12.75">
      <c r="A633" s="194"/>
      <c r="B633" s="195"/>
      <c r="C633" s="75" t="s">
        <v>743</v>
      </c>
      <c r="D633" s="87"/>
      <c r="E633" s="81" t="s">
        <v>744</v>
      </c>
      <c r="F633" s="87"/>
      <c r="G633" s="81" t="s">
        <v>745</v>
      </c>
      <c r="H633" s="87"/>
      <c r="I633" s="81" t="s">
        <v>746</v>
      </c>
      <c r="J633" s="100"/>
      <c r="K633" s="178" t="s">
        <v>756</v>
      </c>
      <c r="L633" s="178"/>
      <c r="M633" s="178"/>
      <c r="N633" s="110"/>
    </row>
    <row r="634" spans="1:14" ht="12.75">
      <c r="A634" s="179" t="s">
        <v>998</v>
      </c>
      <c r="B634" s="161"/>
      <c r="C634" s="162"/>
      <c r="D634" s="100"/>
      <c r="E634" s="178" t="s">
        <v>999</v>
      </c>
      <c r="F634" s="164"/>
      <c r="G634" s="164"/>
      <c r="H634" s="164"/>
      <c r="I634" s="164"/>
      <c r="J634" s="118">
        <f>IF(D632&gt;0,VLOOKUP(SUM(D632+F632+H632+J632+D633+F633+H633+J633),ShardsFound,2),0)+D634</f>
        <v>0</v>
      </c>
      <c r="K634" s="182" t="s">
        <v>524</v>
      </c>
      <c r="L634" s="162"/>
      <c r="M634" s="87"/>
      <c r="N634" s="109"/>
    </row>
    <row r="635" spans="1:14" ht="12.75">
      <c r="A635" s="153" t="s">
        <v>758</v>
      </c>
      <c r="B635" s="183"/>
      <c r="C635" s="183"/>
      <c r="D635" s="183"/>
      <c r="E635" s="184"/>
      <c r="F635" s="185"/>
      <c r="G635" s="51"/>
      <c r="H635" s="51"/>
      <c r="I635" s="51"/>
      <c r="J635" s="51"/>
      <c r="K635" s="78" t="s">
        <v>752</v>
      </c>
      <c r="L635" s="78"/>
      <c r="M635" s="78"/>
      <c r="N635" s="111">
        <f>IF(M634&gt;0,VLOOKUP(M634,Shards,VLOOKUP(M631,Warriors,2)),0)</f>
        <v>0</v>
      </c>
    </row>
    <row r="636" spans="1:14" ht="12.75">
      <c r="A636" s="179" t="s">
        <v>757</v>
      </c>
      <c r="B636" s="161"/>
      <c r="C636" s="161"/>
      <c r="D636" s="161"/>
      <c r="E636" s="453"/>
      <c r="F636" s="162"/>
      <c r="G636" s="178" t="s">
        <v>1308</v>
      </c>
      <c r="H636" s="178"/>
      <c r="I636" s="178"/>
      <c r="J636" s="100"/>
      <c r="K636" s="178" t="s">
        <v>6</v>
      </c>
      <c r="L636" s="164"/>
      <c r="M636" s="164"/>
      <c r="N636" s="151">
        <f>IF(I622="Able to Loot",IF(M627="No",D628*E636,0),0)</f>
        <v>0</v>
      </c>
    </row>
    <row r="637" spans="1:14" ht="12.75">
      <c r="A637" s="153" t="s">
        <v>749</v>
      </c>
      <c r="B637" s="180"/>
      <c r="C637" s="180"/>
      <c r="D637" s="180"/>
      <c r="E637" s="180"/>
      <c r="F637" s="181"/>
      <c r="G637" s="51"/>
      <c r="H637" s="51"/>
      <c r="I637" s="51"/>
      <c r="J637" s="51"/>
      <c r="K637" s="178" t="s">
        <v>755</v>
      </c>
      <c r="L637" s="178"/>
      <c r="M637" s="178"/>
      <c r="N637" s="111">
        <f>SUM(N635+N632+N636+N633)</f>
        <v>0</v>
      </c>
    </row>
    <row r="638" spans="1:14" ht="12.75">
      <c r="A638" s="179" t="s">
        <v>751</v>
      </c>
      <c r="B638" s="161"/>
      <c r="C638" s="161"/>
      <c r="D638" s="162"/>
      <c r="E638" s="86"/>
      <c r="F638" s="178" t="s">
        <v>754</v>
      </c>
      <c r="G638" s="178"/>
      <c r="H638" s="178"/>
      <c r="I638" s="87"/>
      <c r="J638" s="51"/>
      <c r="K638" s="51"/>
      <c r="L638" s="51"/>
      <c r="M638" s="51"/>
      <c r="N638" s="108"/>
    </row>
    <row r="639" spans="1:14" ht="12.75">
      <c r="A639" s="179" t="s">
        <v>750</v>
      </c>
      <c r="B639" s="161"/>
      <c r="C639" s="161"/>
      <c r="D639" s="162"/>
      <c r="E639" s="88"/>
      <c r="F639" s="51"/>
      <c r="G639" s="51"/>
      <c r="H639" s="51"/>
      <c r="I639" s="51"/>
      <c r="J639" s="51"/>
      <c r="K639" s="51"/>
      <c r="L639" s="51"/>
      <c r="M639" s="51"/>
      <c r="N639" s="108"/>
    </row>
    <row r="640" spans="1:14" ht="12.75">
      <c r="A640" s="163" t="s">
        <v>753</v>
      </c>
      <c r="B640" s="178"/>
      <c r="C640" s="178"/>
      <c r="D640" s="164"/>
      <c r="E640" s="87"/>
      <c r="F640" s="178" t="s">
        <v>5</v>
      </c>
      <c r="G640" s="164"/>
      <c r="H640" s="164"/>
      <c r="I640" s="164"/>
      <c r="J640" s="40">
        <f>SUM('Additional Members'!F$89+'Additional Members'!F$98+'Additional Members'!F$107+'Additional Members'!F$123+'Additional Members'!F$132)</f>
        <v>0</v>
      </c>
      <c r="K640" s="178" t="s">
        <v>1300</v>
      </c>
      <c r="L640" s="159"/>
      <c r="M640" s="159"/>
      <c r="N640" s="111">
        <f>SUM(E638+E639+E640+I638)</f>
        <v>0</v>
      </c>
    </row>
    <row r="641" spans="1:14" ht="12.75">
      <c r="A641" s="414" t="s">
        <v>532</v>
      </c>
      <c r="B641" s="183"/>
      <c r="C641" s="183"/>
      <c r="D641" s="183"/>
      <c r="E641" s="183"/>
      <c r="F641" s="183"/>
      <c r="G641" s="183"/>
      <c r="H641" s="183"/>
      <c r="I641" s="183"/>
      <c r="J641" s="183"/>
      <c r="K641" s="225"/>
      <c r="L641" s="415" t="s">
        <v>1001</v>
      </c>
      <c r="M641" s="161"/>
      <c r="N641" s="413"/>
    </row>
    <row r="642" spans="1:14" ht="12.75">
      <c r="A642" s="411"/>
      <c r="B642" s="161"/>
      <c r="C642" s="161"/>
      <c r="D642" s="161"/>
      <c r="E642" s="161"/>
      <c r="F642" s="161"/>
      <c r="G642" s="161"/>
      <c r="H642" s="161"/>
      <c r="I642" s="161"/>
      <c r="J642" s="161"/>
      <c r="K642" s="162"/>
      <c r="L642" s="412"/>
      <c r="M642" s="161"/>
      <c r="N642" s="413"/>
    </row>
    <row r="643" spans="1:14" ht="12.75">
      <c r="A643" s="411"/>
      <c r="B643" s="161"/>
      <c r="C643" s="161"/>
      <c r="D643" s="161"/>
      <c r="E643" s="161"/>
      <c r="F643" s="161"/>
      <c r="G643" s="161"/>
      <c r="H643" s="161"/>
      <c r="I643" s="161"/>
      <c r="J643" s="161"/>
      <c r="K643" s="162"/>
      <c r="L643" s="412"/>
      <c r="M643" s="161"/>
      <c r="N643" s="413"/>
    </row>
    <row r="644" spans="1:14" ht="12.75">
      <c r="A644" s="411"/>
      <c r="B644" s="161"/>
      <c r="C644" s="161"/>
      <c r="D644" s="161"/>
      <c r="E644" s="161"/>
      <c r="F644" s="161"/>
      <c r="G644" s="161"/>
      <c r="H644" s="161"/>
      <c r="I644" s="161"/>
      <c r="J644" s="161"/>
      <c r="K644" s="162"/>
      <c r="L644" s="412"/>
      <c r="M644" s="161"/>
      <c r="N644" s="413"/>
    </row>
    <row r="645" spans="1:14" ht="12.75">
      <c r="A645" s="411"/>
      <c r="B645" s="161"/>
      <c r="C645" s="161"/>
      <c r="D645" s="161"/>
      <c r="E645" s="161"/>
      <c r="F645" s="161"/>
      <c r="G645" s="161"/>
      <c r="H645" s="161"/>
      <c r="I645" s="161"/>
      <c r="J645" s="161"/>
      <c r="K645" s="162"/>
      <c r="L645" s="412"/>
      <c r="M645" s="161"/>
      <c r="N645" s="413"/>
    </row>
    <row r="646" spans="1:14" ht="12.75">
      <c r="A646" s="411"/>
      <c r="B646" s="161"/>
      <c r="C646" s="161"/>
      <c r="D646" s="161"/>
      <c r="E646" s="161"/>
      <c r="F646" s="161"/>
      <c r="G646" s="161"/>
      <c r="H646" s="161"/>
      <c r="I646" s="161"/>
      <c r="J646" s="161"/>
      <c r="K646" s="162"/>
      <c r="L646" s="412"/>
      <c r="M646" s="161"/>
      <c r="N646" s="413"/>
    </row>
    <row r="647" spans="1:14" ht="12.75">
      <c r="A647" s="405"/>
      <c r="B647" s="406"/>
      <c r="C647" s="406"/>
      <c r="D647" s="406"/>
      <c r="E647" s="406"/>
      <c r="F647" s="406"/>
      <c r="G647" s="406"/>
      <c r="H647" s="406"/>
      <c r="I647" s="406"/>
      <c r="J647" s="406"/>
      <c r="K647" s="406"/>
      <c r="L647" s="407"/>
      <c r="M647" s="406"/>
      <c r="N647" s="408"/>
    </row>
    <row r="648" spans="1:14" ht="13.5" thickBot="1">
      <c r="A648" s="168" t="s">
        <v>1296</v>
      </c>
      <c r="B648" s="169"/>
      <c r="C648" s="170"/>
      <c r="D648" s="170"/>
      <c r="E648" s="170"/>
      <c r="F648" s="409"/>
      <c r="G648" s="409"/>
      <c r="H648" s="410"/>
      <c r="I648" s="410"/>
      <c r="J648" s="112"/>
      <c r="K648" s="113" t="s">
        <v>1000</v>
      </c>
      <c r="L648" s="113"/>
      <c r="M648" s="114"/>
      <c r="N648" s="115">
        <f>SUM(N637-N640)</f>
        <v>0</v>
      </c>
    </row>
    <row r="649" ht="13.5" thickTop="1"/>
  </sheetData>
  <sheetProtection selectLockedCells="1"/>
  <mergeCells count="1347">
    <mergeCell ref="G636:I636"/>
    <mergeCell ref="K637:M637"/>
    <mergeCell ref="B630:D630"/>
    <mergeCell ref="E630:F630"/>
    <mergeCell ref="H630:I630"/>
    <mergeCell ref="A629:C629"/>
    <mergeCell ref="H625:I625"/>
    <mergeCell ref="H627:L627"/>
    <mergeCell ref="H628:L628"/>
    <mergeCell ref="M628:N628"/>
    <mergeCell ref="A606:F606"/>
    <mergeCell ref="K607:M607"/>
    <mergeCell ref="A607:D607"/>
    <mergeCell ref="E607:F607"/>
    <mergeCell ref="G607:I607"/>
    <mergeCell ref="A576:F576"/>
    <mergeCell ref="K577:M577"/>
    <mergeCell ref="A577:D577"/>
    <mergeCell ref="E577:F577"/>
    <mergeCell ref="G577:I577"/>
    <mergeCell ref="A564:J564"/>
    <mergeCell ref="E565:F565"/>
    <mergeCell ref="H565:I565"/>
    <mergeCell ref="E566:F566"/>
    <mergeCell ref="H566:I566"/>
    <mergeCell ref="B566:D566"/>
    <mergeCell ref="A547:F547"/>
    <mergeCell ref="K548:M548"/>
    <mergeCell ref="A548:D548"/>
    <mergeCell ref="E548:F548"/>
    <mergeCell ref="G548:I548"/>
    <mergeCell ref="A517:F517"/>
    <mergeCell ref="K518:M518"/>
    <mergeCell ref="A518:D518"/>
    <mergeCell ref="E518:F518"/>
    <mergeCell ref="G518:I518"/>
    <mergeCell ref="A505:J505"/>
    <mergeCell ref="E506:F506"/>
    <mergeCell ref="H506:I506"/>
    <mergeCell ref="E507:F507"/>
    <mergeCell ref="H507:I507"/>
    <mergeCell ref="B507:D507"/>
    <mergeCell ref="A488:F488"/>
    <mergeCell ref="K489:M489"/>
    <mergeCell ref="A489:D489"/>
    <mergeCell ref="E489:F489"/>
    <mergeCell ref="G489:I489"/>
    <mergeCell ref="A458:F458"/>
    <mergeCell ref="K459:M459"/>
    <mergeCell ref="A459:D459"/>
    <mergeCell ref="E459:F459"/>
    <mergeCell ref="G459:I459"/>
    <mergeCell ref="A446:J446"/>
    <mergeCell ref="E447:F447"/>
    <mergeCell ref="H447:I447"/>
    <mergeCell ref="E448:F448"/>
    <mergeCell ref="H448:I448"/>
    <mergeCell ref="B448:D448"/>
    <mergeCell ref="A429:F429"/>
    <mergeCell ref="K430:M430"/>
    <mergeCell ref="A430:D430"/>
    <mergeCell ref="E430:F430"/>
    <mergeCell ref="G430:I430"/>
    <mergeCell ref="A399:F399"/>
    <mergeCell ref="K400:M400"/>
    <mergeCell ref="A400:D400"/>
    <mergeCell ref="E400:F400"/>
    <mergeCell ref="G400:I400"/>
    <mergeCell ref="A387:J387"/>
    <mergeCell ref="E388:F388"/>
    <mergeCell ref="H388:I388"/>
    <mergeCell ref="E389:F389"/>
    <mergeCell ref="H389:I389"/>
    <mergeCell ref="B389:D389"/>
    <mergeCell ref="A370:F370"/>
    <mergeCell ref="K371:M371"/>
    <mergeCell ref="A371:D371"/>
    <mergeCell ref="E371:F371"/>
    <mergeCell ref="G371:I371"/>
    <mergeCell ref="A340:F340"/>
    <mergeCell ref="K341:M341"/>
    <mergeCell ref="A341:D341"/>
    <mergeCell ref="E341:F341"/>
    <mergeCell ref="G341:I341"/>
    <mergeCell ref="A328:J328"/>
    <mergeCell ref="E329:F329"/>
    <mergeCell ref="H329:I329"/>
    <mergeCell ref="E330:F330"/>
    <mergeCell ref="H330:I330"/>
    <mergeCell ref="B330:D330"/>
    <mergeCell ref="A311:F311"/>
    <mergeCell ref="K312:M312"/>
    <mergeCell ref="A312:D312"/>
    <mergeCell ref="E312:F312"/>
    <mergeCell ref="G312:I312"/>
    <mergeCell ref="A281:F281"/>
    <mergeCell ref="K282:M282"/>
    <mergeCell ref="A282:D282"/>
    <mergeCell ref="E282:F282"/>
    <mergeCell ref="G282:I282"/>
    <mergeCell ref="A269:J269"/>
    <mergeCell ref="E270:F270"/>
    <mergeCell ref="H270:I270"/>
    <mergeCell ref="E271:F271"/>
    <mergeCell ref="H271:I271"/>
    <mergeCell ref="B271:D271"/>
    <mergeCell ref="A252:F252"/>
    <mergeCell ref="K253:M253"/>
    <mergeCell ref="A253:D253"/>
    <mergeCell ref="E253:F253"/>
    <mergeCell ref="G253:I253"/>
    <mergeCell ref="K223:M223"/>
    <mergeCell ref="A224:F224"/>
    <mergeCell ref="A225:D225"/>
    <mergeCell ref="F225:H225"/>
    <mergeCell ref="A223:D223"/>
    <mergeCell ref="E223:F223"/>
    <mergeCell ref="G223:I223"/>
    <mergeCell ref="K224:M224"/>
    <mergeCell ref="A210:J210"/>
    <mergeCell ref="E211:F211"/>
    <mergeCell ref="H211:I211"/>
    <mergeCell ref="E212:F212"/>
    <mergeCell ref="H212:I212"/>
    <mergeCell ref="K194:M194"/>
    <mergeCell ref="A195:F195"/>
    <mergeCell ref="A196:D196"/>
    <mergeCell ref="F196:H196"/>
    <mergeCell ref="A194:D194"/>
    <mergeCell ref="E194:F194"/>
    <mergeCell ref="G194:I194"/>
    <mergeCell ref="K195:M195"/>
    <mergeCell ref="A181:J181"/>
    <mergeCell ref="E182:F182"/>
    <mergeCell ref="H182:I182"/>
    <mergeCell ref="E183:F183"/>
    <mergeCell ref="H183:I183"/>
    <mergeCell ref="B182:D182"/>
    <mergeCell ref="B183:D183"/>
    <mergeCell ref="K164:M164"/>
    <mergeCell ref="A165:F165"/>
    <mergeCell ref="A166:D166"/>
    <mergeCell ref="F166:H166"/>
    <mergeCell ref="A164:D164"/>
    <mergeCell ref="E164:F164"/>
    <mergeCell ref="G164:I164"/>
    <mergeCell ref="K165:M165"/>
    <mergeCell ref="A151:J151"/>
    <mergeCell ref="E152:F152"/>
    <mergeCell ref="H152:I152"/>
    <mergeCell ref="E153:F153"/>
    <mergeCell ref="H153:I153"/>
    <mergeCell ref="K135:M135"/>
    <mergeCell ref="A136:F136"/>
    <mergeCell ref="A137:D137"/>
    <mergeCell ref="F137:H137"/>
    <mergeCell ref="A135:D135"/>
    <mergeCell ref="E135:F135"/>
    <mergeCell ref="G135:I135"/>
    <mergeCell ref="K136:M136"/>
    <mergeCell ref="A122:J122"/>
    <mergeCell ref="E123:F123"/>
    <mergeCell ref="H123:I123"/>
    <mergeCell ref="E124:F124"/>
    <mergeCell ref="H124:I124"/>
    <mergeCell ref="B123:D123"/>
    <mergeCell ref="B124:D124"/>
    <mergeCell ref="K109:M109"/>
    <mergeCell ref="A110:K110"/>
    <mergeCell ref="L110:N110"/>
    <mergeCell ref="A117:E117"/>
    <mergeCell ref="F117:I117"/>
    <mergeCell ref="A112:K112"/>
    <mergeCell ref="L112:N112"/>
    <mergeCell ref="A113:K113"/>
    <mergeCell ref="A116:K116"/>
    <mergeCell ref="L116:N116"/>
    <mergeCell ref="A106:F106"/>
    <mergeCell ref="A107:D107"/>
    <mergeCell ref="F107:H107"/>
    <mergeCell ref="F109:I109"/>
    <mergeCell ref="A109:D109"/>
    <mergeCell ref="A108:D108"/>
    <mergeCell ref="A104:F104"/>
    <mergeCell ref="K105:M105"/>
    <mergeCell ref="A105:D105"/>
    <mergeCell ref="E105:F105"/>
    <mergeCell ref="G105:I105"/>
    <mergeCell ref="A101:B102"/>
    <mergeCell ref="K101:M101"/>
    <mergeCell ref="K102:M102"/>
    <mergeCell ref="A103:C103"/>
    <mergeCell ref="E103:I103"/>
    <mergeCell ref="K103:L103"/>
    <mergeCell ref="E99:F99"/>
    <mergeCell ref="H99:I99"/>
    <mergeCell ref="A100:F100"/>
    <mergeCell ref="G100:L100"/>
    <mergeCell ref="A78:D78"/>
    <mergeCell ref="F78:H78"/>
    <mergeCell ref="F80:I80"/>
    <mergeCell ref="A79:D79"/>
    <mergeCell ref="A80:D80"/>
    <mergeCell ref="A76:D76"/>
    <mergeCell ref="E76:F76"/>
    <mergeCell ref="G76:I76"/>
    <mergeCell ref="A77:F77"/>
    <mergeCell ref="A98:C98"/>
    <mergeCell ref="M90:N90"/>
    <mergeCell ref="B93:D93"/>
    <mergeCell ref="E93:F93"/>
    <mergeCell ref="H93:I93"/>
    <mergeCell ref="B95:D95"/>
    <mergeCell ref="A90:C91"/>
    <mergeCell ref="D90:E91"/>
    <mergeCell ref="F91:H91"/>
    <mergeCell ref="I90:K90"/>
    <mergeCell ref="L87:N87"/>
    <mergeCell ref="I91:L91"/>
    <mergeCell ref="I62:L62"/>
    <mergeCell ref="A83:K83"/>
    <mergeCell ref="K80:M80"/>
    <mergeCell ref="A81:K81"/>
    <mergeCell ref="L81:N81"/>
    <mergeCell ref="A67:F67"/>
    <mergeCell ref="H67:L67"/>
    <mergeCell ref="K74:L74"/>
    <mergeCell ref="H96:L96"/>
    <mergeCell ref="H97:L97"/>
    <mergeCell ref="E8:F8"/>
    <mergeCell ref="B8:D8"/>
    <mergeCell ref="B9:D9"/>
    <mergeCell ref="E14:F14"/>
    <mergeCell ref="I61:K61"/>
    <mergeCell ref="A63:J63"/>
    <mergeCell ref="H14:I14"/>
    <mergeCell ref="H10:I10"/>
    <mergeCell ref="A85:K85"/>
    <mergeCell ref="L85:N85"/>
    <mergeCell ref="A96:F96"/>
    <mergeCell ref="A97:C97"/>
    <mergeCell ref="F90:H90"/>
    <mergeCell ref="B94:D94"/>
    <mergeCell ref="E94:F94"/>
    <mergeCell ref="H94:I94"/>
    <mergeCell ref="E95:F95"/>
    <mergeCell ref="H95:I95"/>
    <mergeCell ref="L83:N83"/>
    <mergeCell ref="L84:N84"/>
    <mergeCell ref="A30:K30"/>
    <mergeCell ref="A31:K31"/>
    <mergeCell ref="B64:D64"/>
    <mergeCell ref="A61:C62"/>
    <mergeCell ref="D61:E62"/>
    <mergeCell ref="F61:H61"/>
    <mergeCell ref="A75:F75"/>
    <mergeCell ref="K76:M76"/>
    <mergeCell ref="A3:B3"/>
    <mergeCell ref="H9:I9"/>
    <mergeCell ref="A22:D22"/>
    <mergeCell ref="E9:F9"/>
    <mergeCell ref="A20:D20"/>
    <mergeCell ref="G20:I20"/>
    <mergeCell ref="A21:F21"/>
    <mergeCell ref="H8:I8"/>
    <mergeCell ref="A7:J7"/>
    <mergeCell ref="A4:B4"/>
    <mergeCell ref="M5:N5"/>
    <mergeCell ref="K4:M4"/>
    <mergeCell ref="I2:M2"/>
    <mergeCell ref="I3:M3"/>
    <mergeCell ref="D4:I4"/>
    <mergeCell ref="I5:K5"/>
    <mergeCell ref="A5:C6"/>
    <mergeCell ref="D5:E6"/>
    <mergeCell ref="E10:F10"/>
    <mergeCell ref="E20:F20"/>
    <mergeCell ref="B14:D14"/>
    <mergeCell ref="A11:F11"/>
    <mergeCell ref="F6:H6"/>
    <mergeCell ref="F5:H5"/>
    <mergeCell ref="H11:L11"/>
    <mergeCell ref="A12:C12"/>
    <mergeCell ref="L26:N26"/>
    <mergeCell ref="A15:F15"/>
    <mergeCell ref="A16:B17"/>
    <mergeCell ref="A19:F19"/>
    <mergeCell ref="F22:H22"/>
    <mergeCell ref="A26:K26"/>
    <mergeCell ref="L25:N25"/>
    <mergeCell ref="K18:L18"/>
    <mergeCell ref="A24:D24"/>
    <mergeCell ref="K21:M21"/>
    <mergeCell ref="M68:N68"/>
    <mergeCell ref="B1:N1"/>
    <mergeCell ref="E2:F2"/>
    <mergeCell ref="E3:F3"/>
    <mergeCell ref="G2:H2"/>
    <mergeCell ref="G3:H3"/>
    <mergeCell ref="A2:B2"/>
    <mergeCell ref="C2:D2"/>
    <mergeCell ref="C3:D3"/>
    <mergeCell ref="B10:D10"/>
    <mergeCell ref="M61:N61"/>
    <mergeCell ref="L30:N30"/>
    <mergeCell ref="L27:N27"/>
    <mergeCell ref="L28:N28"/>
    <mergeCell ref="L29:N29"/>
    <mergeCell ref="B59:N59"/>
    <mergeCell ref="F32:I32"/>
    <mergeCell ref="L31:N31"/>
    <mergeCell ref="A28:K28"/>
    <mergeCell ref="A29:K29"/>
    <mergeCell ref="I6:L6"/>
    <mergeCell ref="K106:M106"/>
    <mergeCell ref="B99:D99"/>
    <mergeCell ref="A23:D23"/>
    <mergeCell ref="H12:L12"/>
    <mergeCell ref="A32:E32"/>
    <mergeCell ref="K16:M16"/>
    <mergeCell ref="E18:I18"/>
    <mergeCell ref="K77:M77"/>
    <mergeCell ref="A25:K25"/>
    <mergeCell ref="F24:I24"/>
    <mergeCell ref="B65:D65"/>
    <mergeCell ref="E65:F65"/>
    <mergeCell ref="E64:F64"/>
    <mergeCell ref="H64:I64"/>
    <mergeCell ref="H65:I65"/>
    <mergeCell ref="F62:H62"/>
    <mergeCell ref="A27:K27"/>
    <mergeCell ref="G71:L71"/>
    <mergeCell ref="E66:F66"/>
    <mergeCell ref="H66:I66"/>
    <mergeCell ref="A68:C68"/>
    <mergeCell ref="A69:C69"/>
    <mergeCell ref="H68:L68"/>
    <mergeCell ref="B70:D70"/>
    <mergeCell ref="B66:D66"/>
    <mergeCell ref="E70:F70"/>
    <mergeCell ref="H70:I70"/>
    <mergeCell ref="A88:E88"/>
    <mergeCell ref="F88:I88"/>
    <mergeCell ref="L82:N82"/>
    <mergeCell ref="M97:N97"/>
    <mergeCell ref="A84:K84"/>
    <mergeCell ref="A92:J92"/>
    <mergeCell ref="A82:K82"/>
    <mergeCell ref="A86:K86"/>
    <mergeCell ref="L86:N86"/>
    <mergeCell ref="A87:K87"/>
    <mergeCell ref="A111:K111"/>
    <mergeCell ref="A114:K114"/>
    <mergeCell ref="L114:N114"/>
    <mergeCell ref="A115:K115"/>
    <mergeCell ref="L115:N115"/>
    <mergeCell ref="L113:N113"/>
    <mergeCell ref="L111:N111"/>
    <mergeCell ref="B125:D125"/>
    <mergeCell ref="E125:F125"/>
    <mergeCell ref="H125:I125"/>
    <mergeCell ref="A126:F126"/>
    <mergeCell ref="A127:C127"/>
    <mergeCell ref="H126:L126"/>
    <mergeCell ref="H127:L127"/>
    <mergeCell ref="M127:N127"/>
    <mergeCell ref="A128:C128"/>
    <mergeCell ref="B129:D129"/>
    <mergeCell ref="E129:F129"/>
    <mergeCell ref="H129:I129"/>
    <mergeCell ref="A130:F130"/>
    <mergeCell ref="G130:L130"/>
    <mergeCell ref="A131:B132"/>
    <mergeCell ref="K131:M131"/>
    <mergeCell ref="K132:M132"/>
    <mergeCell ref="A133:C133"/>
    <mergeCell ref="E133:I133"/>
    <mergeCell ref="K133:L133"/>
    <mergeCell ref="A134:F134"/>
    <mergeCell ref="A138:D138"/>
    <mergeCell ref="A139:D139"/>
    <mergeCell ref="A141:K141"/>
    <mergeCell ref="L141:N141"/>
    <mergeCell ref="F139:I139"/>
    <mergeCell ref="K139:M139"/>
    <mergeCell ref="A140:K140"/>
    <mergeCell ref="L140:N140"/>
    <mergeCell ref="A142:K142"/>
    <mergeCell ref="L142:N142"/>
    <mergeCell ref="A143:K143"/>
    <mergeCell ref="L143:N143"/>
    <mergeCell ref="A144:K144"/>
    <mergeCell ref="L144:N144"/>
    <mergeCell ref="A145:K145"/>
    <mergeCell ref="L145:N145"/>
    <mergeCell ref="A146:K146"/>
    <mergeCell ref="L146:N146"/>
    <mergeCell ref="A147:E147"/>
    <mergeCell ref="F147:I147"/>
    <mergeCell ref="M149:N149"/>
    <mergeCell ref="F150:H150"/>
    <mergeCell ref="I150:L150"/>
    <mergeCell ref="A628:C628"/>
    <mergeCell ref="A149:C150"/>
    <mergeCell ref="D149:E150"/>
    <mergeCell ref="F149:H149"/>
    <mergeCell ref="I149:K149"/>
    <mergeCell ref="B152:D152"/>
    <mergeCell ref="B153:D153"/>
    <mergeCell ref="B154:D154"/>
    <mergeCell ref="E154:F154"/>
    <mergeCell ref="H154:I154"/>
    <mergeCell ref="A155:F155"/>
    <mergeCell ref="A156:C156"/>
    <mergeCell ref="H155:L155"/>
    <mergeCell ref="H156:L156"/>
    <mergeCell ref="M156:N156"/>
    <mergeCell ref="A157:C157"/>
    <mergeCell ref="B158:D158"/>
    <mergeCell ref="E158:F158"/>
    <mergeCell ref="H158:I158"/>
    <mergeCell ref="A159:F159"/>
    <mergeCell ref="G159:L159"/>
    <mergeCell ref="A160:B161"/>
    <mergeCell ref="K160:M160"/>
    <mergeCell ref="K161:M161"/>
    <mergeCell ref="A162:C162"/>
    <mergeCell ref="E162:I162"/>
    <mergeCell ref="K162:L162"/>
    <mergeCell ref="A163:F163"/>
    <mergeCell ref="A167:D167"/>
    <mergeCell ref="A168:D168"/>
    <mergeCell ref="A170:K170"/>
    <mergeCell ref="L170:N170"/>
    <mergeCell ref="F168:I168"/>
    <mergeCell ref="K168:M168"/>
    <mergeCell ref="A169:K169"/>
    <mergeCell ref="L169:N169"/>
    <mergeCell ref="L173:N173"/>
    <mergeCell ref="A174:K174"/>
    <mergeCell ref="L174:N174"/>
    <mergeCell ref="A171:K171"/>
    <mergeCell ref="L171:N171"/>
    <mergeCell ref="A172:K172"/>
    <mergeCell ref="L172:N172"/>
    <mergeCell ref="F180:H180"/>
    <mergeCell ref="I180:L180"/>
    <mergeCell ref="A175:K175"/>
    <mergeCell ref="L175:N175"/>
    <mergeCell ref="A176:E176"/>
    <mergeCell ref="F176:I176"/>
    <mergeCell ref="B177:N177"/>
    <mergeCell ref="A179:C180"/>
    <mergeCell ref="D179:E180"/>
    <mergeCell ref="F179:H179"/>
    <mergeCell ref="B184:D184"/>
    <mergeCell ref="E184:F184"/>
    <mergeCell ref="H184:I184"/>
    <mergeCell ref="A185:F185"/>
    <mergeCell ref="A186:C186"/>
    <mergeCell ref="H185:L185"/>
    <mergeCell ref="H186:L186"/>
    <mergeCell ref="M186:N186"/>
    <mergeCell ref="A187:C187"/>
    <mergeCell ref="B188:D188"/>
    <mergeCell ref="E188:F188"/>
    <mergeCell ref="H188:I188"/>
    <mergeCell ref="A189:F189"/>
    <mergeCell ref="G189:L189"/>
    <mergeCell ref="A190:B191"/>
    <mergeCell ref="K190:M190"/>
    <mergeCell ref="K191:M191"/>
    <mergeCell ref="A192:C192"/>
    <mergeCell ref="E192:I192"/>
    <mergeCell ref="K192:L192"/>
    <mergeCell ref="A193:F193"/>
    <mergeCell ref="A197:D197"/>
    <mergeCell ref="A198:D198"/>
    <mergeCell ref="A200:K200"/>
    <mergeCell ref="L200:N200"/>
    <mergeCell ref="F198:I198"/>
    <mergeCell ref="K198:M198"/>
    <mergeCell ref="A199:K199"/>
    <mergeCell ref="L199:N199"/>
    <mergeCell ref="A201:K201"/>
    <mergeCell ref="L201:N201"/>
    <mergeCell ref="A202:K202"/>
    <mergeCell ref="L202:N202"/>
    <mergeCell ref="A203:K203"/>
    <mergeCell ref="L203:N203"/>
    <mergeCell ref="A204:K204"/>
    <mergeCell ref="L204:N204"/>
    <mergeCell ref="A205:K205"/>
    <mergeCell ref="L205:N205"/>
    <mergeCell ref="A206:E206"/>
    <mergeCell ref="F206:I206"/>
    <mergeCell ref="M208:N208"/>
    <mergeCell ref="F209:H209"/>
    <mergeCell ref="I209:L209"/>
    <mergeCell ref="A627:F627"/>
    <mergeCell ref="A208:C209"/>
    <mergeCell ref="D208:E209"/>
    <mergeCell ref="F208:H208"/>
    <mergeCell ref="I208:K208"/>
    <mergeCell ref="B211:D211"/>
    <mergeCell ref="B212:D212"/>
    <mergeCell ref="B213:D213"/>
    <mergeCell ref="E213:F213"/>
    <mergeCell ref="H213:I213"/>
    <mergeCell ref="A214:F214"/>
    <mergeCell ref="A215:C215"/>
    <mergeCell ref="H214:L214"/>
    <mergeCell ref="H215:L215"/>
    <mergeCell ref="M215:N215"/>
    <mergeCell ref="A216:C216"/>
    <mergeCell ref="B217:D217"/>
    <mergeCell ref="E217:F217"/>
    <mergeCell ref="H217:I217"/>
    <mergeCell ref="A218:F218"/>
    <mergeCell ref="G218:L218"/>
    <mergeCell ref="A219:B220"/>
    <mergeCell ref="K219:M219"/>
    <mergeCell ref="K220:M220"/>
    <mergeCell ref="A221:C221"/>
    <mergeCell ref="E221:I221"/>
    <mergeCell ref="K221:L221"/>
    <mergeCell ref="A222:F222"/>
    <mergeCell ref="A226:D226"/>
    <mergeCell ref="A227:D227"/>
    <mergeCell ref="A229:K229"/>
    <mergeCell ref="L229:N229"/>
    <mergeCell ref="F227:I227"/>
    <mergeCell ref="K227:M227"/>
    <mergeCell ref="A228:K228"/>
    <mergeCell ref="L228:N228"/>
    <mergeCell ref="A230:K230"/>
    <mergeCell ref="L230:N230"/>
    <mergeCell ref="A231:K231"/>
    <mergeCell ref="L231:N231"/>
    <mergeCell ref="A232:K232"/>
    <mergeCell ref="L232:N232"/>
    <mergeCell ref="A233:K233"/>
    <mergeCell ref="L233:N233"/>
    <mergeCell ref="A234:K234"/>
    <mergeCell ref="L234:N234"/>
    <mergeCell ref="A235:E235"/>
    <mergeCell ref="F235:I235"/>
    <mergeCell ref="F621:H621"/>
    <mergeCell ref="B624:D624"/>
    <mergeCell ref="B626:D626"/>
    <mergeCell ref="E626:F626"/>
    <mergeCell ref="H626:I626"/>
    <mergeCell ref="B625:D625"/>
    <mergeCell ref="A623:J623"/>
    <mergeCell ref="E624:F624"/>
    <mergeCell ref="H624:I624"/>
    <mergeCell ref="E625:F625"/>
    <mergeCell ref="I621:K621"/>
    <mergeCell ref="F622:H622"/>
    <mergeCell ref="I622:L622"/>
    <mergeCell ref="A618:K618"/>
    <mergeCell ref="L618:N618"/>
    <mergeCell ref="M621:N621"/>
    <mergeCell ref="A619:E619"/>
    <mergeCell ref="F619:I619"/>
    <mergeCell ref="A621:C622"/>
    <mergeCell ref="D621:E622"/>
    <mergeCell ref="A616:K616"/>
    <mergeCell ref="L616:N616"/>
    <mergeCell ref="A617:K617"/>
    <mergeCell ref="L617:N617"/>
    <mergeCell ref="A614:K614"/>
    <mergeCell ref="L614:N614"/>
    <mergeCell ref="A615:K615"/>
    <mergeCell ref="L615:N615"/>
    <mergeCell ref="A611:D611"/>
    <mergeCell ref="A613:K613"/>
    <mergeCell ref="L613:N613"/>
    <mergeCell ref="F611:I611"/>
    <mergeCell ref="K611:M611"/>
    <mergeCell ref="A612:K612"/>
    <mergeCell ref="L612:N612"/>
    <mergeCell ref="K608:M608"/>
    <mergeCell ref="A610:D610"/>
    <mergeCell ref="A608:F608"/>
    <mergeCell ref="A609:D609"/>
    <mergeCell ref="F609:H609"/>
    <mergeCell ref="A603:B604"/>
    <mergeCell ref="K603:M603"/>
    <mergeCell ref="K604:M604"/>
    <mergeCell ref="A605:C605"/>
    <mergeCell ref="E605:I605"/>
    <mergeCell ref="K605:L605"/>
    <mergeCell ref="A602:F602"/>
    <mergeCell ref="G602:L602"/>
    <mergeCell ref="A600:C600"/>
    <mergeCell ref="B601:D601"/>
    <mergeCell ref="E601:F601"/>
    <mergeCell ref="H601:I601"/>
    <mergeCell ref="M599:N599"/>
    <mergeCell ref="B597:D597"/>
    <mergeCell ref="E597:F597"/>
    <mergeCell ref="H597:I597"/>
    <mergeCell ref="A598:F598"/>
    <mergeCell ref="A599:C599"/>
    <mergeCell ref="H598:L598"/>
    <mergeCell ref="H599:L599"/>
    <mergeCell ref="B596:D596"/>
    <mergeCell ref="E595:F595"/>
    <mergeCell ref="H595:I595"/>
    <mergeCell ref="E596:F596"/>
    <mergeCell ref="H596:I596"/>
    <mergeCell ref="B595:D595"/>
    <mergeCell ref="A594:J594"/>
    <mergeCell ref="B590:N590"/>
    <mergeCell ref="A592:C593"/>
    <mergeCell ref="D592:E593"/>
    <mergeCell ref="F592:H592"/>
    <mergeCell ref="I592:K592"/>
    <mergeCell ref="M592:N592"/>
    <mergeCell ref="F593:H593"/>
    <mergeCell ref="I593:L593"/>
    <mergeCell ref="A588:K588"/>
    <mergeCell ref="L588:N588"/>
    <mergeCell ref="A589:E589"/>
    <mergeCell ref="F589:I589"/>
    <mergeCell ref="A586:K586"/>
    <mergeCell ref="L586:N586"/>
    <mergeCell ref="A587:K587"/>
    <mergeCell ref="L587:N587"/>
    <mergeCell ref="A584:K584"/>
    <mergeCell ref="L584:N584"/>
    <mergeCell ref="A585:K585"/>
    <mergeCell ref="L585:N585"/>
    <mergeCell ref="A581:D581"/>
    <mergeCell ref="A583:K583"/>
    <mergeCell ref="L583:N583"/>
    <mergeCell ref="F581:I581"/>
    <mergeCell ref="K581:M581"/>
    <mergeCell ref="A582:K582"/>
    <mergeCell ref="L582:N582"/>
    <mergeCell ref="K578:M578"/>
    <mergeCell ref="A580:D580"/>
    <mergeCell ref="A578:F578"/>
    <mergeCell ref="A579:D579"/>
    <mergeCell ref="F579:H579"/>
    <mergeCell ref="A573:B574"/>
    <mergeCell ref="K573:M573"/>
    <mergeCell ref="K574:M574"/>
    <mergeCell ref="A575:C575"/>
    <mergeCell ref="E575:I575"/>
    <mergeCell ref="K575:L575"/>
    <mergeCell ref="A572:F572"/>
    <mergeCell ref="G572:L572"/>
    <mergeCell ref="A570:C570"/>
    <mergeCell ref="B571:D571"/>
    <mergeCell ref="E571:F571"/>
    <mergeCell ref="H571:I571"/>
    <mergeCell ref="F562:H562"/>
    <mergeCell ref="B565:D565"/>
    <mergeCell ref="M569:N569"/>
    <mergeCell ref="B567:D567"/>
    <mergeCell ref="E567:F567"/>
    <mergeCell ref="H567:I567"/>
    <mergeCell ref="A568:F568"/>
    <mergeCell ref="A569:C569"/>
    <mergeCell ref="H568:L568"/>
    <mergeCell ref="H569:L569"/>
    <mergeCell ref="I562:K562"/>
    <mergeCell ref="F563:H563"/>
    <mergeCell ref="I563:L563"/>
    <mergeCell ref="A559:K559"/>
    <mergeCell ref="L559:N559"/>
    <mergeCell ref="M562:N562"/>
    <mergeCell ref="A560:E560"/>
    <mergeCell ref="F560:I560"/>
    <mergeCell ref="A562:C563"/>
    <mergeCell ref="D562:E563"/>
    <mergeCell ref="A557:K557"/>
    <mergeCell ref="L557:N557"/>
    <mergeCell ref="A558:K558"/>
    <mergeCell ref="L558:N558"/>
    <mergeCell ref="A555:K555"/>
    <mergeCell ref="L555:N555"/>
    <mergeCell ref="A556:K556"/>
    <mergeCell ref="L556:N556"/>
    <mergeCell ref="A552:D552"/>
    <mergeCell ref="A554:K554"/>
    <mergeCell ref="L554:N554"/>
    <mergeCell ref="F552:I552"/>
    <mergeCell ref="K552:M552"/>
    <mergeCell ref="A553:K553"/>
    <mergeCell ref="L553:N553"/>
    <mergeCell ref="K549:M549"/>
    <mergeCell ref="A551:D551"/>
    <mergeCell ref="A549:F549"/>
    <mergeCell ref="A550:D550"/>
    <mergeCell ref="F550:H550"/>
    <mergeCell ref="A544:B545"/>
    <mergeCell ref="K544:M544"/>
    <mergeCell ref="K545:M545"/>
    <mergeCell ref="A546:C546"/>
    <mergeCell ref="E546:I546"/>
    <mergeCell ref="K546:L546"/>
    <mergeCell ref="A543:F543"/>
    <mergeCell ref="G543:L543"/>
    <mergeCell ref="A541:C541"/>
    <mergeCell ref="B542:D542"/>
    <mergeCell ref="E542:F542"/>
    <mergeCell ref="H542:I542"/>
    <mergeCell ref="M540:N540"/>
    <mergeCell ref="B538:D538"/>
    <mergeCell ref="E538:F538"/>
    <mergeCell ref="H538:I538"/>
    <mergeCell ref="A539:F539"/>
    <mergeCell ref="A540:C540"/>
    <mergeCell ref="H539:L539"/>
    <mergeCell ref="H540:L540"/>
    <mergeCell ref="B537:D537"/>
    <mergeCell ref="E536:F536"/>
    <mergeCell ref="H536:I536"/>
    <mergeCell ref="E537:F537"/>
    <mergeCell ref="H537:I537"/>
    <mergeCell ref="B536:D536"/>
    <mergeCell ref="A535:J535"/>
    <mergeCell ref="B531:N531"/>
    <mergeCell ref="A533:C534"/>
    <mergeCell ref="D533:E534"/>
    <mergeCell ref="F533:H533"/>
    <mergeCell ref="I533:K533"/>
    <mergeCell ref="M533:N533"/>
    <mergeCell ref="F534:H534"/>
    <mergeCell ref="I534:L534"/>
    <mergeCell ref="A529:K529"/>
    <mergeCell ref="L529:N529"/>
    <mergeCell ref="A530:E530"/>
    <mergeCell ref="F530:I530"/>
    <mergeCell ref="A527:K527"/>
    <mergeCell ref="L527:N527"/>
    <mergeCell ref="A528:K528"/>
    <mergeCell ref="L528:N528"/>
    <mergeCell ref="A525:K525"/>
    <mergeCell ref="L525:N525"/>
    <mergeCell ref="A526:K526"/>
    <mergeCell ref="L526:N526"/>
    <mergeCell ref="A522:D522"/>
    <mergeCell ref="A524:K524"/>
    <mergeCell ref="L524:N524"/>
    <mergeCell ref="F522:I522"/>
    <mergeCell ref="K522:M522"/>
    <mergeCell ref="A523:K523"/>
    <mergeCell ref="L523:N523"/>
    <mergeCell ref="K519:M519"/>
    <mergeCell ref="A521:D521"/>
    <mergeCell ref="A519:F519"/>
    <mergeCell ref="A520:D520"/>
    <mergeCell ref="F520:H520"/>
    <mergeCell ref="A514:B515"/>
    <mergeCell ref="K514:M514"/>
    <mergeCell ref="K515:M515"/>
    <mergeCell ref="A516:C516"/>
    <mergeCell ref="E516:I516"/>
    <mergeCell ref="K516:L516"/>
    <mergeCell ref="A513:F513"/>
    <mergeCell ref="G513:L513"/>
    <mergeCell ref="A511:C511"/>
    <mergeCell ref="B512:D512"/>
    <mergeCell ref="E512:F512"/>
    <mergeCell ref="H512:I512"/>
    <mergeCell ref="F503:H503"/>
    <mergeCell ref="B506:D506"/>
    <mergeCell ref="M510:N510"/>
    <mergeCell ref="B508:D508"/>
    <mergeCell ref="E508:F508"/>
    <mergeCell ref="H508:I508"/>
    <mergeCell ref="A509:F509"/>
    <mergeCell ref="A510:C510"/>
    <mergeCell ref="H509:L509"/>
    <mergeCell ref="H510:L510"/>
    <mergeCell ref="I503:K503"/>
    <mergeCell ref="F504:H504"/>
    <mergeCell ref="I504:L504"/>
    <mergeCell ref="A500:K500"/>
    <mergeCell ref="L500:N500"/>
    <mergeCell ref="M503:N503"/>
    <mergeCell ref="A501:E501"/>
    <mergeCell ref="F501:I501"/>
    <mergeCell ref="A503:C504"/>
    <mergeCell ref="D503:E504"/>
    <mergeCell ref="A498:K498"/>
    <mergeCell ref="L498:N498"/>
    <mergeCell ref="A499:K499"/>
    <mergeCell ref="L499:N499"/>
    <mergeCell ref="A496:K496"/>
    <mergeCell ref="L496:N496"/>
    <mergeCell ref="A497:K497"/>
    <mergeCell ref="L497:N497"/>
    <mergeCell ref="A493:D493"/>
    <mergeCell ref="A495:K495"/>
    <mergeCell ref="L495:N495"/>
    <mergeCell ref="F493:I493"/>
    <mergeCell ref="K493:M493"/>
    <mergeCell ref="A494:K494"/>
    <mergeCell ref="L494:N494"/>
    <mergeCell ref="K490:M490"/>
    <mergeCell ref="A492:D492"/>
    <mergeCell ref="A490:F490"/>
    <mergeCell ref="A491:D491"/>
    <mergeCell ref="F491:H491"/>
    <mergeCell ref="A485:B486"/>
    <mergeCell ref="K485:M485"/>
    <mergeCell ref="K486:M486"/>
    <mergeCell ref="A487:C487"/>
    <mergeCell ref="E487:I487"/>
    <mergeCell ref="K487:L487"/>
    <mergeCell ref="A484:F484"/>
    <mergeCell ref="G484:L484"/>
    <mergeCell ref="A482:C482"/>
    <mergeCell ref="B483:D483"/>
    <mergeCell ref="E483:F483"/>
    <mergeCell ref="H483:I483"/>
    <mergeCell ref="M481:N481"/>
    <mergeCell ref="B479:D479"/>
    <mergeCell ref="E479:F479"/>
    <mergeCell ref="H479:I479"/>
    <mergeCell ref="A480:F480"/>
    <mergeCell ref="A481:C481"/>
    <mergeCell ref="H480:L480"/>
    <mergeCell ref="H481:L481"/>
    <mergeCell ref="B478:D478"/>
    <mergeCell ref="E477:F477"/>
    <mergeCell ref="H477:I477"/>
    <mergeCell ref="E478:F478"/>
    <mergeCell ref="H478:I478"/>
    <mergeCell ref="B477:D477"/>
    <mergeCell ref="A476:J476"/>
    <mergeCell ref="B472:N472"/>
    <mergeCell ref="A474:C475"/>
    <mergeCell ref="D474:E475"/>
    <mergeCell ref="F474:H474"/>
    <mergeCell ref="I474:K474"/>
    <mergeCell ref="M474:N474"/>
    <mergeCell ref="F475:H475"/>
    <mergeCell ref="I475:L475"/>
    <mergeCell ref="A470:K470"/>
    <mergeCell ref="L470:N470"/>
    <mergeCell ref="A471:E471"/>
    <mergeCell ref="F471:I471"/>
    <mergeCell ref="A468:K468"/>
    <mergeCell ref="L468:N468"/>
    <mergeCell ref="A469:K469"/>
    <mergeCell ref="L469:N469"/>
    <mergeCell ref="A466:K466"/>
    <mergeCell ref="L466:N466"/>
    <mergeCell ref="A467:K467"/>
    <mergeCell ref="L467:N467"/>
    <mergeCell ref="A463:D463"/>
    <mergeCell ref="A465:K465"/>
    <mergeCell ref="L465:N465"/>
    <mergeCell ref="F463:I463"/>
    <mergeCell ref="K463:M463"/>
    <mergeCell ref="A464:K464"/>
    <mergeCell ref="L464:N464"/>
    <mergeCell ref="K460:M460"/>
    <mergeCell ref="A462:D462"/>
    <mergeCell ref="A460:F460"/>
    <mergeCell ref="A461:D461"/>
    <mergeCell ref="F461:H461"/>
    <mergeCell ref="A455:B456"/>
    <mergeCell ref="K455:M455"/>
    <mergeCell ref="K456:M456"/>
    <mergeCell ref="A457:C457"/>
    <mergeCell ref="E457:I457"/>
    <mergeCell ref="K457:L457"/>
    <mergeCell ref="A454:F454"/>
    <mergeCell ref="G454:L454"/>
    <mergeCell ref="A452:C452"/>
    <mergeCell ref="B453:D453"/>
    <mergeCell ref="E453:F453"/>
    <mergeCell ref="H453:I453"/>
    <mergeCell ref="F444:H444"/>
    <mergeCell ref="B447:D447"/>
    <mergeCell ref="M451:N451"/>
    <mergeCell ref="B449:D449"/>
    <mergeCell ref="E449:F449"/>
    <mergeCell ref="H449:I449"/>
    <mergeCell ref="A450:F450"/>
    <mergeCell ref="A451:C451"/>
    <mergeCell ref="H450:L450"/>
    <mergeCell ref="H451:L451"/>
    <mergeCell ref="I444:K444"/>
    <mergeCell ref="F445:H445"/>
    <mergeCell ref="I445:L445"/>
    <mergeCell ref="A441:K441"/>
    <mergeCell ref="L441:N441"/>
    <mergeCell ref="M444:N444"/>
    <mergeCell ref="A442:E442"/>
    <mergeCell ref="F442:I442"/>
    <mergeCell ref="A444:C445"/>
    <mergeCell ref="D444:E445"/>
    <mergeCell ref="A439:K439"/>
    <mergeCell ref="L439:N439"/>
    <mergeCell ref="A440:K440"/>
    <mergeCell ref="L440:N440"/>
    <mergeCell ref="A437:K437"/>
    <mergeCell ref="L437:N437"/>
    <mergeCell ref="A438:K438"/>
    <mergeCell ref="L438:N438"/>
    <mergeCell ref="A434:D434"/>
    <mergeCell ref="A436:K436"/>
    <mergeCell ref="L436:N436"/>
    <mergeCell ref="F434:I434"/>
    <mergeCell ref="K434:M434"/>
    <mergeCell ref="A435:K435"/>
    <mergeCell ref="L435:N435"/>
    <mergeCell ref="K431:M431"/>
    <mergeCell ref="A433:D433"/>
    <mergeCell ref="A431:F431"/>
    <mergeCell ref="A432:D432"/>
    <mergeCell ref="F432:H432"/>
    <mergeCell ref="A426:B427"/>
    <mergeCell ref="K426:M426"/>
    <mergeCell ref="K427:M427"/>
    <mergeCell ref="A428:C428"/>
    <mergeCell ref="E428:I428"/>
    <mergeCell ref="K428:L428"/>
    <mergeCell ref="A425:F425"/>
    <mergeCell ref="G425:L425"/>
    <mergeCell ref="A423:C423"/>
    <mergeCell ref="B424:D424"/>
    <mergeCell ref="E424:F424"/>
    <mergeCell ref="H424:I424"/>
    <mergeCell ref="M422:N422"/>
    <mergeCell ref="B420:D420"/>
    <mergeCell ref="E420:F420"/>
    <mergeCell ref="H420:I420"/>
    <mergeCell ref="A421:F421"/>
    <mergeCell ref="A422:C422"/>
    <mergeCell ref="H421:L421"/>
    <mergeCell ref="H422:L422"/>
    <mergeCell ref="B419:D419"/>
    <mergeCell ref="E418:F418"/>
    <mergeCell ref="H418:I418"/>
    <mergeCell ref="E419:F419"/>
    <mergeCell ref="H419:I419"/>
    <mergeCell ref="B418:D418"/>
    <mergeCell ref="A417:J417"/>
    <mergeCell ref="B413:N413"/>
    <mergeCell ref="A415:C416"/>
    <mergeCell ref="D415:E416"/>
    <mergeCell ref="F415:H415"/>
    <mergeCell ref="I415:K415"/>
    <mergeCell ref="M415:N415"/>
    <mergeCell ref="F416:H416"/>
    <mergeCell ref="I416:L416"/>
    <mergeCell ref="A411:K411"/>
    <mergeCell ref="L411:N411"/>
    <mergeCell ref="A412:E412"/>
    <mergeCell ref="F412:I412"/>
    <mergeCell ref="A409:K409"/>
    <mergeCell ref="L409:N409"/>
    <mergeCell ref="A410:K410"/>
    <mergeCell ref="L410:N410"/>
    <mergeCell ref="A407:K407"/>
    <mergeCell ref="L407:N407"/>
    <mergeCell ref="A408:K408"/>
    <mergeCell ref="L408:N408"/>
    <mergeCell ref="A404:D404"/>
    <mergeCell ref="A406:K406"/>
    <mergeCell ref="L406:N406"/>
    <mergeCell ref="F404:I404"/>
    <mergeCell ref="K404:M404"/>
    <mergeCell ref="A405:K405"/>
    <mergeCell ref="L405:N405"/>
    <mergeCell ref="K401:M401"/>
    <mergeCell ref="A403:D403"/>
    <mergeCell ref="A401:F401"/>
    <mergeCell ref="A402:D402"/>
    <mergeCell ref="F402:H402"/>
    <mergeCell ref="A396:B397"/>
    <mergeCell ref="K396:M396"/>
    <mergeCell ref="K397:M397"/>
    <mergeCell ref="A398:C398"/>
    <mergeCell ref="E398:I398"/>
    <mergeCell ref="K398:L398"/>
    <mergeCell ref="A395:F395"/>
    <mergeCell ref="G395:L395"/>
    <mergeCell ref="A393:C393"/>
    <mergeCell ref="B394:D394"/>
    <mergeCell ref="E394:F394"/>
    <mergeCell ref="H394:I394"/>
    <mergeCell ref="F385:H385"/>
    <mergeCell ref="B388:D388"/>
    <mergeCell ref="M392:N392"/>
    <mergeCell ref="B390:D390"/>
    <mergeCell ref="E390:F390"/>
    <mergeCell ref="H390:I390"/>
    <mergeCell ref="A391:F391"/>
    <mergeCell ref="A392:C392"/>
    <mergeCell ref="H391:L391"/>
    <mergeCell ref="H392:L392"/>
    <mergeCell ref="I385:K385"/>
    <mergeCell ref="F386:H386"/>
    <mergeCell ref="I386:L386"/>
    <mergeCell ref="A382:K382"/>
    <mergeCell ref="L382:N382"/>
    <mergeCell ref="M385:N385"/>
    <mergeCell ref="A383:E383"/>
    <mergeCell ref="F383:I383"/>
    <mergeCell ref="A385:C386"/>
    <mergeCell ref="D385:E386"/>
    <mergeCell ref="A380:K380"/>
    <mergeCell ref="L380:N380"/>
    <mergeCell ref="A381:K381"/>
    <mergeCell ref="L381:N381"/>
    <mergeCell ref="A378:K378"/>
    <mergeCell ref="L378:N378"/>
    <mergeCell ref="A379:K379"/>
    <mergeCell ref="L379:N379"/>
    <mergeCell ref="A375:D375"/>
    <mergeCell ref="A377:K377"/>
    <mergeCell ref="L377:N377"/>
    <mergeCell ref="F375:I375"/>
    <mergeCell ref="K375:M375"/>
    <mergeCell ref="A376:K376"/>
    <mergeCell ref="L376:N376"/>
    <mergeCell ref="K372:M372"/>
    <mergeCell ref="A374:D374"/>
    <mergeCell ref="A372:F372"/>
    <mergeCell ref="A373:D373"/>
    <mergeCell ref="F373:H373"/>
    <mergeCell ref="A367:B368"/>
    <mergeCell ref="K367:M367"/>
    <mergeCell ref="K368:M368"/>
    <mergeCell ref="A369:C369"/>
    <mergeCell ref="E369:I369"/>
    <mergeCell ref="K369:L369"/>
    <mergeCell ref="A366:F366"/>
    <mergeCell ref="G366:L366"/>
    <mergeCell ref="A364:C364"/>
    <mergeCell ref="B365:D365"/>
    <mergeCell ref="E365:F365"/>
    <mergeCell ref="H365:I365"/>
    <mergeCell ref="M363:N363"/>
    <mergeCell ref="B361:D361"/>
    <mergeCell ref="E361:F361"/>
    <mergeCell ref="H361:I361"/>
    <mergeCell ref="A362:F362"/>
    <mergeCell ref="A363:C363"/>
    <mergeCell ref="H362:L362"/>
    <mergeCell ref="H363:L363"/>
    <mergeCell ref="B360:D360"/>
    <mergeCell ref="E359:F359"/>
    <mergeCell ref="H359:I359"/>
    <mergeCell ref="E360:F360"/>
    <mergeCell ref="H360:I360"/>
    <mergeCell ref="B359:D359"/>
    <mergeCell ref="A358:J358"/>
    <mergeCell ref="B354:N354"/>
    <mergeCell ref="A356:C357"/>
    <mergeCell ref="D356:E357"/>
    <mergeCell ref="F356:H356"/>
    <mergeCell ref="I356:K356"/>
    <mergeCell ref="M356:N356"/>
    <mergeCell ref="F357:H357"/>
    <mergeCell ref="I357:L357"/>
    <mergeCell ref="A352:K352"/>
    <mergeCell ref="L352:N352"/>
    <mergeCell ref="A353:E353"/>
    <mergeCell ref="F353:I353"/>
    <mergeCell ref="A350:K350"/>
    <mergeCell ref="L350:N350"/>
    <mergeCell ref="A351:K351"/>
    <mergeCell ref="L351:N351"/>
    <mergeCell ref="A348:K348"/>
    <mergeCell ref="L348:N348"/>
    <mergeCell ref="A349:K349"/>
    <mergeCell ref="L349:N349"/>
    <mergeCell ref="A345:D345"/>
    <mergeCell ref="A347:K347"/>
    <mergeCell ref="L347:N347"/>
    <mergeCell ref="F345:I345"/>
    <mergeCell ref="K345:M345"/>
    <mergeCell ref="A346:K346"/>
    <mergeCell ref="L346:N346"/>
    <mergeCell ref="K342:M342"/>
    <mergeCell ref="A344:D344"/>
    <mergeCell ref="A342:F342"/>
    <mergeCell ref="A343:D343"/>
    <mergeCell ref="F343:H343"/>
    <mergeCell ref="A337:B338"/>
    <mergeCell ref="K337:M337"/>
    <mergeCell ref="K338:M338"/>
    <mergeCell ref="A339:C339"/>
    <mergeCell ref="E339:I339"/>
    <mergeCell ref="K339:L339"/>
    <mergeCell ref="A336:F336"/>
    <mergeCell ref="G336:L336"/>
    <mergeCell ref="A334:C334"/>
    <mergeCell ref="B335:D335"/>
    <mergeCell ref="E335:F335"/>
    <mergeCell ref="H335:I335"/>
    <mergeCell ref="F326:H326"/>
    <mergeCell ref="B329:D329"/>
    <mergeCell ref="M333:N333"/>
    <mergeCell ref="B331:D331"/>
    <mergeCell ref="E331:F331"/>
    <mergeCell ref="H331:I331"/>
    <mergeCell ref="A332:F332"/>
    <mergeCell ref="A333:C333"/>
    <mergeCell ref="H332:L332"/>
    <mergeCell ref="H333:L333"/>
    <mergeCell ref="I326:K326"/>
    <mergeCell ref="F327:H327"/>
    <mergeCell ref="I327:L327"/>
    <mergeCell ref="A323:K323"/>
    <mergeCell ref="L323:N323"/>
    <mergeCell ref="M326:N326"/>
    <mergeCell ref="A324:E324"/>
    <mergeCell ref="F324:I324"/>
    <mergeCell ref="A326:C327"/>
    <mergeCell ref="D326:E327"/>
    <mergeCell ref="A321:K321"/>
    <mergeCell ref="L321:N321"/>
    <mergeCell ref="A322:K322"/>
    <mergeCell ref="L322:N322"/>
    <mergeCell ref="A319:K319"/>
    <mergeCell ref="L319:N319"/>
    <mergeCell ref="A320:K320"/>
    <mergeCell ref="L320:N320"/>
    <mergeCell ref="A316:D316"/>
    <mergeCell ref="A318:K318"/>
    <mergeCell ref="L318:N318"/>
    <mergeCell ref="F316:I316"/>
    <mergeCell ref="K316:M316"/>
    <mergeCell ref="A317:K317"/>
    <mergeCell ref="L317:N317"/>
    <mergeCell ref="K313:M313"/>
    <mergeCell ref="A315:D315"/>
    <mergeCell ref="A313:F313"/>
    <mergeCell ref="A314:D314"/>
    <mergeCell ref="F314:H314"/>
    <mergeCell ref="A308:B309"/>
    <mergeCell ref="K308:M308"/>
    <mergeCell ref="K309:M309"/>
    <mergeCell ref="A310:C310"/>
    <mergeCell ref="E310:I310"/>
    <mergeCell ref="K310:L310"/>
    <mergeCell ref="A307:F307"/>
    <mergeCell ref="G307:L307"/>
    <mergeCell ref="A305:C305"/>
    <mergeCell ref="B306:D306"/>
    <mergeCell ref="E306:F306"/>
    <mergeCell ref="H306:I306"/>
    <mergeCell ref="M304:N304"/>
    <mergeCell ref="B302:D302"/>
    <mergeCell ref="E302:F302"/>
    <mergeCell ref="H302:I302"/>
    <mergeCell ref="A303:F303"/>
    <mergeCell ref="A304:C304"/>
    <mergeCell ref="H303:L303"/>
    <mergeCell ref="H304:L304"/>
    <mergeCell ref="B301:D301"/>
    <mergeCell ref="E300:F300"/>
    <mergeCell ref="H300:I300"/>
    <mergeCell ref="E301:F301"/>
    <mergeCell ref="H301:I301"/>
    <mergeCell ref="B300:D300"/>
    <mergeCell ref="A299:J299"/>
    <mergeCell ref="B295:N295"/>
    <mergeCell ref="A297:C298"/>
    <mergeCell ref="D297:E298"/>
    <mergeCell ref="F297:H297"/>
    <mergeCell ref="I297:K297"/>
    <mergeCell ref="M297:N297"/>
    <mergeCell ref="F298:H298"/>
    <mergeCell ref="I298:L298"/>
    <mergeCell ref="A293:K293"/>
    <mergeCell ref="L293:N293"/>
    <mergeCell ref="A294:E294"/>
    <mergeCell ref="F294:I294"/>
    <mergeCell ref="A291:K291"/>
    <mergeCell ref="L291:N291"/>
    <mergeCell ref="A292:K292"/>
    <mergeCell ref="L292:N292"/>
    <mergeCell ref="A289:K289"/>
    <mergeCell ref="L289:N289"/>
    <mergeCell ref="A290:K290"/>
    <mergeCell ref="L290:N290"/>
    <mergeCell ref="A286:D286"/>
    <mergeCell ref="A288:K288"/>
    <mergeCell ref="L288:N288"/>
    <mergeCell ref="F286:I286"/>
    <mergeCell ref="K286:M286"/>
    <mergeCell ref="A287:K287"/>
    <mergeCell ref="L287:N287"/>
    <mergeCell ref="K283:M283"/>
    <mergeCell ref="A285:D285"/>
    <mergeCell ref="A283:F283"/>
    <mergeCell ref="A284:D284"/>
    <mergeCell ref="F284:H284"/>
    <mergeCell ref="A278:B279"/>
    <mergeCell ref="K278:M278"/>
    <mergeCell ref="K279:M279"/>
    <mergeCell ref="A280:C280"/>
    <mergeCell ref="E280:I280"/>
    <mergeCell ref="K280:L280"/>
    <mergeCell ref="A277:F277"/>
    <mergeCell ref="G277:L277"/>
    <mergeCell ref="A275:C275"/>
    <mergeCell ref="B276:D276"/>
    <mergeCell ref="E276:F276"/>
    <mergeCell ref="H276:I276"/>
    <mergeCell ref="F267:H267"/>
    <mergeCell ref="B270:D270"/>
    <mergeCell ref="M274:N274"/>
    <mergeCell ref="B272:D272"/>
    <mergeCell ref="E272:F272"/>
    <mergeCell ref="H272:I272"/>
    <mergeCell ref="A273:F273"/>
    <mergeCell ref="A274:C274"/>
    <mergeCell ref="H273:L273"/>
    <mergeCell ref="H274:L274"/>
    <mergeCell ref="I267:K267"/>
    <mergeCell ref="F268:H268"/>
    <mergeCell ref="I268:L268"/>
    <mergeCell ref="A264:K264"/>
    <mergeCell ref="L264:N264"/>
    <mergeCell ref="M267:N267"/>
    <mergeCell ref="A265:E265"/>
    <mergeCell ref="F265:I265"/>
    <mergeCell ref="A267:C268"/>
    <mergeCell ref="D267:E268"/>
    <mergeCell ref="A262:K262"/>
    <mergeCell ref="L262:N262"/>
    <mergeCell ref="A263:K263"/>
    <mergeCell ref="L263:N263"/>
    <mergeCell ref="A260:K260"/>
    <mergeCell ref="L260:N260"/>
    <mergeCell ref="A261:K261"/>
    <mergeCell ref="L261:N261"/>
    <mergeCell ref="A257:D257"/>
    <mergeCell ref="A259:K259"/>
    <mergeCell ref="L259:N259"/>
    <mergeCell ref="F257:I257"/>
    <mergeCell ref="K257:M257"/>
    <mergeCell ref="A258:K258"/>
    <mergeCell ref="L258:N258"/>
    <mergeCell ref="K254:M254"/>
    <mergeCell ref="A256:D256"/>
    <mergeCell ref="A254:F254"/>
    <mergeCell ref="A255:D255"/>
    <mergeCell ref="F255:H255"/>
    <mergeCell ref="A249:B250"/>
    <mergeCell ref="K249:M249"/>
    <mergeCell ref="K250:M250"/>
    <mergeCell ref="A251:C251"/>
    <mergeCell ref="E251:I251"/>
    <mergeCell ref="K251:L251"/>
    <mergeCell ref="A248:F248"/>
    <mergeCell ref="G248:L248"/>
    <mergeCell ref="A246:C246"/>
    <mergeCell ref="B247:D247"/>
    <mergeCell ref="E247:F247"/>
    <mergeCell ref="H247:I247"/>
    <mergeCell ref="M245:N245"/>
    <mergeCell ref="B243:D243"/>
    <mergeCell ref="E243:F243"/>
    <mergeCell ref="H243:I243"/>
    <mergeCell ref="A244:F244"/>
    <mergeCell ref="A245:C245"/>
    <mergeCell ref="H244:L244"/>
    <mergeCell ref="H245:L245"/>
    <mergeCell ref="B242:D242"/>
    <mergeCell ref="E241:F241"/>
    <mergeCell ref="H241:I241"/>
    <mergeCell ref="E242:F242"/>
    <mergeCell ref="H242:I242"/>
    <mergeCell ref="B241:D241"/>
    <mergeCell ref="A240:J240"/>
    <mergeCell ref="B236:N236"/>
    <mergeCell ref="A238:C239"/>
    <mergeCell ref="D238:E239"/>
    <mergeCell ref="F238:H238"/>
    <mergeCell ref="I238:K238"/>
    <mergeCell ref="M238:N238"/>
    <mergeCell ref="F239:H239"/>
    <mergeCell ref="I239:L239"/>
    <mergeCell ref="M179:N179"/>
    <mergeCell ref="B118:N118"/>
    <mergeCell ref="A120:C121"/>
    <mergeCell ref="D120:E121"/>
    <mergeCell ref="F120:H120"/>
    <mergeCell ref="I120:K120"/>
    <mergeCell ref="M120:N120"/>
    <mergeCell ref="F121:H121"/>
    <mergeCell ref="I121:L121"/>
    <mergeCell ref="A173:K173"/>
    <mergeCell ref="K24:M24"/>
    <mergeCell ref="A71:F71"/>
    <mergeCell ref="A631:F631"/>
    <mergeCell ref="G631:L631"/>
    <mergeCell ref="A74:C74"/>
    <mergeCell ref="E74:I74"/>
    <mergeCell ref="A72:B73"/>
    <mergeCell ref="K72:M72"/>
    <mergeCell ref="K73:M73"/>
    <mergeCell ref="I179:K179"/>
    <mergeCell ref="A632:B633"/>
    <mergeCell ref="K632:M632"/>
    <mergeCell ref="K633:M633"/>
    <mergeCell ref="A634:C634"/>
    <mergeCell ref="E634:I634"/>
    <mergeCell ref="K634:L634"/>
    <mergeCell ref="A635:F635"/>
    <mergeCell ref="A639:D639"/>
    <mergeCell ref="A640:D640"/>
    <mergeCell ref="A642:K642"/>
    <mergeCell ref="K636:M636"/>
    <mergeCell ref="A637:F637"/>
    <mergeCell ref="A638:D638"/>
    <mergeCell ref="F638:H638"/>
    <mergeCell ref="A636:D636"/>
    <mergeCell ref="E636:F636"/>
    <mergeCell ref="L642:N642"/>
    <mergeCell ref="F640:I640"/>
    <mergeCell ref="K640:M640"/>
    <mergeCell ref="A641:K641"/>
    <mergeCell ref="L641:N641"/>
    <mergeCell ref="A643:K643"/>
    <mergeCell ref="L643:N643"/>
    <mergeCell ref="A644:K644"/>
    <mergeCell ref="L644:N644"/>
    <mergeCell ref="A645:K645"/>
    <mergeCell ref="L645:N645"/>
    <mergeCell ref="A646:K646"/>
    <mergeCell ref="L646:N646"/>
    <mergeCell ref="A647:K647"/>
    <mergeCell ref="L647:N647"/>
    <mergeCell ref="A648:E648"/>
    <mergeCell ref="F648:I648"/>
    <mergeCell ref="M12:N12"/>
    <mergeCell ref="A18:C18"/>
    <mergeCell ref="K20:M20"/>
    <mergeCell ref="K17:M17"/>
    <mergeCell ref="G15:L15"/>
    <mergeCell ref="A13:C13"/>
  </mergeCells>
  <dataValidations count="6">
    <dataValidation type="list" allowBlank="1" showInputMessage="1" showErrorMessage="1" sqref="F117:G117 M127:N127 M120:N120 F147:G147 M621:N621 M61:N61 F560:G560 M68:N68 F88:G88 M90:N90 M5:N5 F32:G32 M12:N12 M179:N179 F589:G589 F206:G206 M186:N186 M149:N149 M97:N97 F176:G176 M156:N156 M238:N238 M562:N562 F265:G265 M245:N245 M208:N208 M569:N569 F235:G235 M215:N215 M297:N297 M533:N533 F324:G324 M304:N304 M267:N267 F619:G619 F294:G294 M274:N274 M356:N356 M592:N592 F383:G383 M363:N363 M326:N326 M599:N599 F353:G353 M333:N333 M415:N415 M540:N540 F442:G442 M422:N422 M385:N385 F530:G530 F412:G412 M392:N392 M474:N474 M503:N503 F501:G501 M481:N481 M444:N444 M510:N510 F471:G471 M451:N451 F648:G648 M628:N628">
      <formula1>Locations</formula1>
    </dataValidation>
    <dataValidation type="list" allowBlank="1" showInputMessage="1" showErrorMessage="1" sqref="M618:N618 M588:N588 M529:N529 M87:N87 M146:N146 L26:L31 M205:N205 M175:N175 M264:N264 M234:N234 M323:N323 M293:N293 M382:N382 M352:N352 M441:N441 M411:N411 M500:N500 M470:N470 M559:N559 L82:L87 L111:L116 M116:N116 N38:N53 N33 M31:N31 L141:L146 L170:L175 L200:L205 L229:L234 L259:L264 L288:L293 L318:L323 L347:L352 L377:L382 L406:L411 L436:L441 L465:L470 L495:L500 L524:L529 L554:L559 L583:L588 L613:L618 L642:L647 M647:N647">
      <formula1>Items</formula1>
    </dataValidation>
    <dataValidation type="list" allowBlank="1" showInputMessage="1" showErrorMessage="1" sqref="N70 N129 N8:N10 N188 N158 N247 N217 N306 N276 N365 N335 N424 N394 N483 N453 N542 N512 N601 N571 N64:N66 N93:N95 N99 N14 N123:N125 N152:N154 N182:N184 N211:N213 N241:N243 N270:N272 N300:N302 N329:N331 N359:N361 N388:N390 N418:N420 N447:N449 N477:N479 N506:N508 N536:N538 N565:N567 N595:N597 N624:N626 N630">
      <formula1>Battleresult</formula1>
    </dataValidation>
    <dataValidation type="list" allowBlank="1" showInputMessage="1" showErrorMessage="1" sqref="I562 I61 I120 I90 I179 I149 I238 I208 I297 I267 I356 I326 I415 I385 I474 I444 I533 I503 I592 I621 I5">
      <formula1>Actions</formula1>
    </dataValidation>
    <dataValidation type="list" allowBlank="1" showInputMessage="1" showErrorMessage="1" sqref="I563:K563 I62:K62 I121:K121 I91:K91 I180:K180 I150:K150 I239:K239 I209:K209 I298:K298 I268:K268 I357:K357 I327:K327 I416:K416 I386:K386 I475:K475 I445:K445 I534:K534 I504:K504 I593:K593 I622:K622 I6:K6">
      <formula1>BattlePhase</formula1>
    </dataValidation>
    <dataValidation type="list" allowBlank="1" showInputMessage="1" showErrorMessage="1" sqref="M67 M96 M11 M126 M155 M185 M214 M244 M273 M303 M332 M362 M391 M421 M450 M480 M509 M539 M568 M598 M627">
      <formula1>DefendResult</formula1>
    </dataValidation>
  </dataValidations>
  <printOptions/>
  <pageMargins left="0.393700787401575" right="0.393700787401575" top="0.393700787401575" bottom="0.393700787401575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B1:I20"/>
  <sheetViews>
    <sheetView workbookViewId="0" topLeftCell="A1">
      <selection activeCell="A27" sqref="A27"/>
    </sheetView>
  </sheetViews>
  <sheetFormatPr defaultColWidth="9.140625" defaultRowHeight="12.75"/>
  <cols>
    <col min="1" max="1" width="16.8515625" style="0" bestFit="1" customWidth="1"/>
  </cols>
  <sheetData>
    <row r="1" spans="2:9" ht="12.75">
      <c r="B1" s="465"/>
      <c r="C1" s="465"/>
      <c r="D1" s="465"/>
      <c r="E1" s="465"/>
      <c r="F1" s="465"/>
      <c r="G1" s="465"/>
      <c r="H1" s="465"/>
      <c r="I1" s="465"/>
    </row>
    <row r="2" spans="2:9" ht="12.75">
      <c r="B2" s="465"/>
      <c r="C2" s="465"/>
      <c r="D2" s="465"/>
      <c r="E2" s="465"/>
      <c r="F2" s="465"/>
      <c r="G2" s="465"/>
      <c r="H2" s="465"/>
      <c r="I2" s="465"/>
    </row>
    <row r="3" spans="2:9" ht="12.75">
      <c r="B3" s="465"/>
      <c r="C3" s="465"/>
      <c r="D3" s="465"/>
      <c r="E3" s="465"/>
      <c r="F3" s="465"/>
      <c r="G3" s="465"/>
      <c r="H3" s="465"/>
      <c r="I3" s="465"/>
    </row>
    <row r="4" spans="2:9" ht="12.75">
      <c r="B4" s="465"/>
      <c r="C4" s="465"/>
      <c r="D4" s="465"/>
      <c r="E4" s="465"/>
      <c r="F4" s="465"/>
      <c r="G4" s="465"/>
      <c r="H4" s="465"/>
      <c r="I4" s="465"/>
    </row>
    <row r="5" spans="2:9" ht="12.75">
      <c r="B5" s="465"/>
      <c r="C5" s="465"/>
      <c r="D5" s="465"/>
      <c r="E5" s="465"/>
      <c r="F5" s="465"/>
      <c r="G5" s="465"/>
      <c r="H5" s="465"/>
      <c r="I5" s="465"/>
    </row>
    <row r="6" spans="2:9" ht="12.75">
      <c r="B6" s="465"/>
      <c r="C6" s="465"/>
      <c r="D6" s="465"/>
      <c r="E6" s="465"/>
      <c r="F6" s="465"/>
      <c r="G6" s="465"/>
      <c r="H6" s="465"/>
      <c r="I6" s="465"/>
    </row>
    <row r="7" spans="2:9" ht="12.75">
      <c r="B7" s="465"/>
      <c r="C7" s="465"/>
      <c r="D7" s="465"/>
      <c r="E7" s="465"/>
      <c r="F7" s="465"/>
      <c r="G7" s="465"/>
      <c r="H7" s="465"/>
      <c r="I7" s="465"/>
    </row>
    <row r="8" spans="2:9" ht="12.75">
      <c r="B8" s="465"/>
      <c r="C8" s="465"/>
      <c r="D8" s="465"/>
      <c r="E8" s="465"/>
      <c r="F8" s="465"/>
      <c r="G8" s="465"/>
      <c r="H8" s="465"/>
      <c r="I8" s="465"/>
    </row>
    <row r="9" spans="2:9" ht="12.75">
      <c r="B9" s="465"/>
      <c r="C9" s="465"/>
      <c r="D9" s="465"/>
      <c r="E9" s="465"/>
      <c r="F9" s="465"/>
      <c r="G9" s="465"/>
      <c r="H9" s="465"/>
      <c r="I9" s="465"/>
    </row>
    <row r="10" spans="2:9" ht="12.75">
      <c r="B10" s="465"/>
      <c r="C10" s="465"/>
      <c r="D10" s="465"/>
      <c r="E10" s="465"/>
      <c r="F10" s="465"/>
      <c r="G10" s="465"/>
      <c r="H10" s="465"/>
      <c r="I10" s="465"/>
    </row>
    <row r="11" spans="2:9" ht="12.75">
      <c r="B11" s="465"/>
      <c r="C11" s="465"/>
      <c r="D11" s="465"/>
      <c r="E11" s="465"/>
      <c r="F11" s="465"/>
      <c r="G11" s="465"/>
      <c r="H11" s="465"/>
      <c r="I11" s="465"/>
    </row>
    <row r="12" spans="2:9" ht="12.75">
      <c r="B12" s="465"/>
      <c r="C12" s="465"/>
      <c r="D12" s="465"/>
      <c r="E12" s="465"/>
      <c r="F12" s="465"/>
      <c r="G12" s="465"/>
      <c r="H12" s="465"/>
      <c r="I12" s="465"/>
    </row>
    <row r="13" spans="2:9" ht="12.75">
      <c r="B13" s="465"/>
      <c r="C13" s="465"/>
      <c r="D13" s="465"/>
      <c r="E13" s="465"/>
      <c r="F13" s="465"/>
      <c r="G13" s="465"/>
      <c r="H13" s="465"/>
      <c r="I13" s="465"/>
    </row>
    <row r="14" spans="2:9" ht="12.75">
      <c r="B14" s="465"/>
      <c r="C14" s="465"/>
      <c r="D14" s="465"/>
      <c r="E14" s="465"/>
      <c r="F14" s="465"/>
      <c r="G14" s="465"/>
      <c r="H14" s="465"/>
      <c r="I14" s="465"/>
    </row>
    <row r="15" spans="2:9" ht="12.75">
      <c r="B15" s="465"/>
      <c r="C15" s="465"/>
      <c r="D15" s="465"/>
      <c r="E15" s="465"/>
      <c r="F15" s="465"/>
      <c r="G15" s="465"/>
      <c r="H15" s="465"/>
      <c r="I15" s="465"/>
    </row>
    <row r="16" spans="2:9" ht="12.75">
      <c r="B16" s="465"/>
      <c r="C16" s="465"/>
      <c r="D16" s="465"/>
      <c r="E16" s="465"/>
      <c r="F16" s="465"/>
      <c r="G16" s="465"/>
      <c r="H16" s="465"/>
      <c r="I16" s="465"/>
    </row>
    <row r="17" spans="2:9" ht="12.75">
      <c r="B17" s="465"/>
      <c r="C17" s="465"/>
      <c r="D17" s="465"/>
      <c r="E17" s="465"/>
      <c r="F17" s="465"/>
      <c r="G17" s="465"/>
      <c r="H17" s="465"/>
      <c r="I17" s="465"/>
    </row>
    <row r="18" spans="2:9" ht="12.75">
      <c r="B18" s="465"/>
      <c r="C18" s="465"/>
      <c r="D18" s="465"/>
      <c r="E18" s="465"/>
      <c r="F18" s="465"/>
      <c r="G18" s="465"/>
      <c r="H18" s="465"/>
      <c r="I18" s="465"/>
    </row>
    <row r="19" spans="2:9" ht="12.75">
      <c r="B19" s="465"/>
      <c r="C19" s="465"/>
      <c r="D19" s="465"/>
      <c r="E19" s="465"/>
      <c r="F19" s="465"/>
      <c r="G19" s="465"/>
      <c r="H19" s="465"/>
      <c r="I19" s="465"/>
    </row>
    <row r="20" spans="2:9" ht="12.75">
      <c r="B20" s="465"/>
      <c r="C20" s="465"/>
      <c r="D20" s="465"/>
      <c r="E20" s="465"/>
      <c r="F20" s="465"/>
      <c r="G20" s="465"/>
      <c r="H20" s="465"/>
      <c r="I20" s="465"/>
    </row>
  </sheetData>
  <mergeCells count="5">
    <mergeCell ref="B17:I20"/>
    <mergeCell ref="B1:I4"/>
    <mergeCell ref="B5:I8"/>
    <mergeCell ref="B9:I12"/>
    <mergeCell ref="B13:I1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AA332"/>
  <sheetViews>
    <sheetView zoomScalePageLayoutView="0" workbookViewId="0" topLeftCell="K165">
      <selection activeCell="L190" sqref="L190"/>
    </sheetView>
  </sheetViews>
  <sheetFormatPr defaultColWidth="9.140625" defaultRowHeight="12.75"/>
  <cols>
    <col min="1" max="1" width="26.00390625" style="0" bestFit="1" customWidth="1"/>
    <col min="4" max="4" width="29.00390625" style="0" customWidth="1"/>
    <col min="5" max="5" width="22.140625" style="0" bestFit="1" customWidth="1"/>
    <col min="6" max="6" width="19.00390625" style="0" bestFit="1" customWidth="1"/>
    <col min="7" max="7" width="17.421875" style="0" bestFit="1" customWidth="1"/>
    <col min="8" max="8" width="16.7109375" style="0" bestFit="1" customWidth="1"/>
    <col min="9" max="9" width="32.140625" style="0" bestFit="1" customWidth="1"/>
    <col min="10" max="10" width="18.57421875" style="0" bestFit="1" customWidth="1"/>
    <col min="12" max="12" width="19.00390625" style="0" bestFit="1" customWidth="1"/>
    <col min="13" max="13" width="3.28125" style="0" bestFit="1" customWidth="1"/>
    <col min="14" max="14" width="4.8515625" style="0" bestFit="1" customWidth="1"/>
    <col min="15" max="15" width="7.140625" style="0" bestFit="1" customWidth="1"/>
    <col min="16" max="16" width="4.140625" style="0" bestFit="1" customWidth="1"/>
    <col min="17" max="17" width="3.57421875" style="0" bestFit="1" customWidth="1"/>
    <col min="18" max="18" width="3.00390625" style="0" customWidth="1"/>
    <col min="19" max="19" width="2.00390625" style="0" bestFit="1" customWidth="1"/>
    <col min="20" max="20" width="2.8515625" style="0" bestFit="1" customWidth="1"/>
    <col min="21" max="21" width="2.00390625" style="0" bestFit="1" customWidth="1"/>
    <col min="22" max="22" width="2.28125" style="0" bestFit="1" customWidth="1"/>
    <col min="23" max="23" width="3.28125" style="0" bestFit="1" customWidth="1"/>
    <col min="24" max="24" width="14.57421875" style="0" customWidth="1"/>
    <col min="25" max="25" width="21.7109375" style="0" bestFit="1" customWidth="1"/>
    <col min="26" max="26" width="40.8515625" style="0" bestFit="1" customWidth="1"/>
    <col min="27" max="27" width="21.00390625" style="0" bestFit="1" customWidth="1"/>
    <col min="28" max="28" width="23.7109375" style="0" bestFit="1" customWidth="1"/>
    <col min="29" max="31" width="21.00390625" style="0" bestFit="1" customWidth="1"/>
    <col min="32" max="32" width="18.57421875" style="0" bestFit="1" customWidth="1"/>
    <col min="33" max="34" width="22.8515625" style="0" bestFit="1" customWidth="1"/>
    <col min="35" max="35" width="21.57421875" style="0" bestFit="1" customWidth="1"/>
    <col min="37" max="37" width="52.8515625" style="0" customWidth="1"/>
  </cols>
  <sheetData>
    <row r="1" spans="1:10" ht="18">
      <c r="A1" s="61" t="s">
        <v>980</v>
      </c>
      <c r="D1" s="14" t="s">
        <v>184</v>
      </c>
      <c r="E1" s="14" t="s">
        <v>112</v>
      </c>
      <c r="F1" s="14" t="s">
        <v>119</v>
      </c>
      <c r="G1" s="14" t="s">
        <v>811</v>
      </c>
      <c r="H1" s="14" t="s">
        <v>812</v>
      </c>
      <c r="I1" s="14" t="s">
        <v>810</v>
      </c>
      <c r="J1" t="s">
        <v>539</v>
      </c>
    </row>
    <row r="2" spans="1:26" ht="12.75">
      <c r="A2" s="14" t="s">
        <v>327</v>
      </c>
      <c r="D2" t="s">
        <v>185</v>
      </c>
      <c r="E2" t="s">
        <v>104</v>
      </c>
      <c r="F2" t="s">
        <v>226</v>
      </c>
      <c r="G2" t="s">
        <v>174</v>
      </c>
      <c r="H2" t="s">
        <v>169</v>
      </c>
      <c r="L2" s="14"/>
      <c r="M2" s="14" t="s">
        <v>116</v>
      </c>
      <c r="N2" s="14" t="s">
        <v>30</v>
      </c>
      <c r="O2" s="14" t="s">
        <v>7</v>
      </c>
      <c r="P2" s="14" t="s">
        <v>8</v>
      </c>
      <c r="Q2" s="14" t="s">
        <v>9</v>
      </c>
      <c r="R2" s="14" t="s">
        <v>10</v>
      </c>
      <c r="S2" s="14" t="s">
        <v>11</v>
      </c>
      <c r="T2" s="14" t="s">
        <v>12</v>
      </c>
      <c r="U2" s="14" t="s">
        <v>13</v>
      </c>
      <c r="V2" s="14" t="s">
        <v>14</v>
      </c>
      <c r="W2" s="14" t="s">
        <v>118</v>
      </c>
      <c r="X2" s="14" t="s">
        <v>399</v>
      </c>
      <c r="Y2" s="14" t="s">
        <v>400</v>
      </c>
      <c r="Z2" s="14" t="s">
        <v>682</v>
      </c>
    </row>
    <row r="3" spans="1:26" ht="12.75">
      <c r="A3" s="77" t="s">
        <v>187</v>
      </c>
      <c r="D3" t="s">
        <v>195</v>
      </c>
      <c r="E3" t="s">
        <v>105</v>
      </c>
      <c r="F3" t="s">
        <v>227</v>
      </c>
      <c r="G3" t="s">
        <v>164</v>
      </c>
      <c r="H3" t="s">
        <v>170</v>
      </c>
      <c r="I3" s="55" t="s">
        <v>813</v>
      </c>
      <c r="L3" s="21" t="s">
        <v>113</v>
      </c>
      <c r="M3" s="21">
        <v>20</v>
      </c>
      <c r="N3" s="21">
        <v>70</v>
      </c>
      <c r="O3" s="21">
        <v>4</v>
      </c>
      <c r="P3" s="21">
        <v>4</v>
      </c>
      <c r="Q3" s="21">
        <v>4</v>
      </c>
      <c r="R3" s="21">
        <v>3</v>
      </c>
      <c r="S3" s="21">
        <v>3</v>
      </c>
      <c r="T3" s="21">
        <v>1</v>
      </c>
      <c r="U3" s="21">
        <v>3</v>
      </c>
      <c r="V3" s="21">
        <v>1</v>
      </c>
      <c r="W3" s="21">
        <v>8</v>
      </c>
      <c r="X3" s="25" t="s">
        <v>181</v>
      </c>
      <c r="Y3" s="17" t="s">
        <v>417</v>
      </c>
      <c r="Z3" t="s">
        <v>840</v>
      </c>
    </row>
    <row r="4" spans="1:26" ht="12.75">
      <c r="A4" s="14" t="s">
        <v>982</v>
      </c>
      <c r="D4" t="s">
        <v>186</v>
      </c>
      <c r="E4" t="s">
        <v>107</v>
      </c>
      <c r="F4" t="s">
        <v>820</v>
      </c>
      <c r="G4" t="s">
        <v>830</v>
      </c>
      <c r="H4" t="s">
        <v>821</v>
      </c>
      <c r="L4" s="18" t="s">
        <v>114</v>
      </c>
      <c r="M4" s="18">
        <v>8</v>
      </c>
      <c r="N4" s="18">
        <v>90</v>
      </c>
      <c r="O4" s="18">
        <v>5</v>
      </c>
      <c r="P4" s="18">
        <v>4</v>
      </c>
      <c r="Q4" s="18">
        <v>0</v>
      </c>
      <c r="R4" s="18">
        <v>4</v>
      </c>
      <c r="S4" s="18">
        <v>4</v>
      </c>
      <c r="T4" s="18">
        <v>2</v>
      </c>
      <c r="U4" s="18">
        <v>4</v>
      </c>
      <c r="V4" s="18">
        <v>2</v>
      </c>
      <c r="W4" s="18">
        <v>7</v>
      </c>
      <c r="X4" s="26" t="s">
        <v>182</v>
      </c>
      <c r="Y4" s="17" t="s">
        <v>418</v>
      </c>
      <c r="Z4" s="17" t="s">
        <v>801</v>
      </c>
    </row>
    <row r="5" spans="1:26" ht="12.75">
      <c r="A5" s="77" t="s">
        <v>979</v>
      </c>
      <c r="D5" t="s">
        <v>187</v>
      </c>
      <c r="E5" t="s">
        <v>106</v>
      </c>
      <c r="F5" t="s">
        <v>828</v>
      </c>
      <c r="G5" t="s">
        <v>829</v>
      </c>
      <c r="H5" t="s">
        <v>831</v>
      </c>
      <c r="I5" t="s">
        <v>832</v>
      </c>
      <c r="L5" s="18" t="s">
        <v>123</v>
      </c>
      <c r="M5" s="18">
        <v>0</v>
      </c>
      <c r="N5" s="18">
        <v>25</v>
      </c>
      <c r="O5" s="18">
        <v>4</v>
      </c>
      <c r="P5" s="18">
        <v>3</v>
      </c>
      <c r="Q5" s="18">
        <v>3</v>
      </c>
      <c r="R5" s="18">
        <v>3</v>
      </c>
      <c r="S5" s="18">
        <v>3</v>
      </c>
      <c r="T5" s="18">
        <v>1</v>
      </c>
      <c r="U5" s="18">
        <v>3</v>
      </c>
      <c r="V5" s="18">
        <v>1</v>
      </c>
      <c r="W5" s="18">
        <v>7</v>
      </c>
      <c r="X5" s="26" t="s">
        <v>121</v>
      </c>
      <c r="Y5" s="17" t="s">
        <v>419</v>
      </c>
      <c r="Z5" s="17" t="s">
        <v>805</v>
      </c>
    </row>
    <row r="6" spans="1:26" ht="12.75">
      <c r="A6" s="14" t="s">
        <v>527</v>
      </c>
      <c r="E6" t="s">
        <v>108</v>
      </c>
      <c r="F6" t="s">
        <v>228</v>
      </c>
      <c r="G6" t="s">
        <v>165</v>
      </c>
      <c r="H6" t="s">
        <v>171</v>
      </c>
      <c r="L6" t="s">
        <v>115</v>
      </c>
      <c r="M6">
        <v>0</v>
      </c>
      <c r="N6">
        <v>35</v>
      </c>
      <c r="O6">
        <v>4</v>
      </c>
      <c r="P6">
        <v>2</v>
      </c>
      <c r="Q6">
        <v>2</v>
      </c>
      <c r="R6">
        <v>4</v>
      </c>
      <c r="S6">
        <v>3</v>
      </c>
      <c r="T6">
        <v>1</v>
      </c>
      <c r="U6">
        <v>3</v>
      </c>
      <c r="V6">
        <v>1</v>
      </c>
      <c r="W6">
        <v>6</v>
      </c>
      <c r="X6" s="27" t="s">
        <v>122</v>
      </c>
      <c r="Y6" s="17" t="s">
        <v>420</v>
      </c>
      <c r="Z6" s="17"/>
    </row>
    <row r="7" spans="1:26" ht="18">
      <c r="A7" s="84">
        <v>500</v>
      </c>
      <c r="D7" t="s">
        <v>979</v>
      </c>
      <c r="E7" t="s">
        <v>109</v>
      </c>
      <c r="F7" t="s">
        <v>229</v>
      </c>
      <c r="G7" t="s">
        <v>166</v>
      </c>
      <c r="H7" t="s">
        <v>176</v>
      </c>
      <c r="L7" t="s">
        <v>117</v>
      </c>
      <c r="M7">
        <v>0</v>
      </c>
      <c r="N7">
        <v>25</v>
      </c>
      <c r="O7">
        <v>4</v>
      </c>
      <c r="P7">
        <v>3</v>
      </c>
      <c r="Q7">
        <v>3</v>
      </c>
      <c r="R7">
        <v>3</v>
      </c>
      <c r="S7">
        <v>3</v>
      </c>
      <c r="T7">
        <v>1</v>
      </c>
      <c r="U7">
        <v>3</v>
      </c>
      <c r="V7">
        <v>1</v>
      </c>
      <c r="W7">
        <v>7</v>
      </c>
      <c r="X7" s="27"/>
      <c r="Y7" s="17" t="s">
        <v>417</v>
      </c>
      <c r="Z7" s="17"/>
    </row>
    <row r="8" spans="1:26" ht="12.75">
      <c r="A8" s="14" t="s">
        <v>177</v>
      </c>
      <c r="D8" t="s">
        <v>981</v>
      </c>
      <c r="E8" t="s">
        <v>110</v>
      </c>
      <c r="F8" t="s">
        <v>230</v>
      </c>
      <c r="G8" t="s">
        <v>167</v>
      </c>
      <c r="H8" t="s">
        <v>172</v>
      </c>
      <c r="L8" t="s">
        <v>416</v>
      </c>
      <c r="M8">
        <v>0</v>
      </c>
      <c r="N8">
        <v>45</v>
      </c>
      <c r="O8">
        <v>4</v>
      </c>
      <c r="P8">
        <v>4</v>
      </c>
      <c r="Q8">
        <v>3</v>
      </c>
      <c r="R8">
        <v>3</v>
      </c>
      <c r="S8">
        <v>4</v>
      </c>
      <c r="T8">
        <v>2</v>
      </c>
      <c r="U8">
        <v>3</v>
      </c>
      <c r="V8">
        <v>1</v>
      </c>
      <c r="W8">
        <v>7</v>
      </c>
      <c r="X8" s="27"/>
      <c r="Y8" s="17" t="s">
        <v>420</v>
      </c>
      <c r="Z8" s="17"/>
    </row>
    <row r="9" spans="1:26" ht="12.75">
      <c r="A9" t="e">
        <f>VLOOKUP(Heroes!M1,Warbands,3,FALSE)</f>
        <v>#N/A</v>
      </c>
      <c r="E9" t="s">
        <v>111</v>
      </c>
      <c r="F9" t="s">
        <v>231</v>
      </c>
      <c r="G9" t="s">
        <v>168</v>
      </c>
      <c r="H9" t="s">
        <v>173</v>
      </c>
      <c r="X9" s="27"/>
      <c r="Y9" s="17"/>
      <c r="Z9" s="17"/>
    </row>
    <row r="10" spans="1:26" ht="12.75">
      <c r="A10" t="e">
        <f>VLOOKUP(Heroes!M1,Warbands,4,FALSE)</f>
        <v>#N/A</v>
      </c>
      <c r="D10" s="18" t="s">
        <v>195</v>
      </c>
      <c r="E10" t="s">
        <v>188</v>
      </c>
      <c r="F10" t="s">
        <v>232</v>
      </c>
      <c r="G10" t="s">
        <v>196</v>
      </c>
      <c r="H10" t="s">
        <v>197</v>
      </c>
      <c r="L10" s="21" t="s">
        <v>833</v>
      </c>
      <c r="M10" s="21">
        <v>20</v>
      </c>
      <c r="N10" s="21">
        <v>60</v>
      </c>
      <c r="O10" s="21">
        <v>4</v>
      </c>
      <c r="P10" s="21">
        <v>4</v>
      </c>
      <c r="Q10" s="21">
        <v>4</v>
      </c>
      <c r="R10" s="21">
        <v>3</v>
      </c>
      <c r="S10" s="21">
        <v>3</v>
      </c>
      <c r="T10" s="21">
        <v>1</v>
      </c>
      <c r="U10" s="21">
        <v>4</v>
      </c>
      <c r="V10" s="21">
        <v>1</v>
      </c>
      <c r="W10" s="21">
        <v>8</v>
      </c>
      <c r="X10" s="25" t="s">
        <v>119</v>
      </c>
      <c r="Y10" s="17" t="s">
        <v>412</v>
      </c>
      <c r="Z10" s="17" t="s">
        <v>790</v>
      </c>
    </row>
    <row r="11" spans="5:26" ht="12.75">
      <c r="E11" t="s">
        <v>189</v>
      </c>
      <c r="F11" t="s">
        <v>233</v>
      </c>
      <c r="G11" t="s">
        <v>444</v>
      </c>
      <c r="H11" t="s">
        <v>445</v>
      </c>
      <c r="I11" t="s">
        <v>841</v>
      </c>
      <c r="L11" s="18" t="s">
        <v>834</v>
      </c>
      <c r="M11" s="18">
        <v>8</v>
      </c>
      <c r="N11" s="18">
        <v>35</v>
      </c>
      <c r="O11" s="18">
        <v>4</v>
      </c>
      <c r="P11" s="18">
        <v>4</v>
      </c>
      <c r="Q11" s="18">
        <v>3</v>
      </c>
      <c r="R11" s="18">
        <v>3</v>
      </c>
      <c r="S11" s="18">
        <v>3</v>
      </c>
      <c r="T11" s="18">
        <v>1</v>
      </c>
      <c r="U11" s="18">
        <v>3</v>
      </c>
      <c r="V11" s="18">
        <v>1</v>
      </c>
      <c r="W11" s="18">
        <v>7</v>
      </c>
      <c r="X11" s="26"/>
      <c r="Y11" s="17" t="s">
        <v>412</v>
      </c>
      <c r="Z11" s="17" t="s">
        <v>791</v>
      </c>
    </row>
    <row r="12" spans="1:26" ht="12.75">
      <c r="A12" s="14" t="s">
        <v>103</v>
      </c>
      <c r="B12" s="14" t="s">
        <v>30</v>
      </c>
      <c r="E12" t="s">
        <v>190</v>
      </c>
      <c r="F12" t="s">
        <v>235</v>
      </c>
      <c r="G12" t="s">
        <v>236</v>
      </c>
      <c r="H12" t="s">
        <v>237</v>
      </c>
      <c r="I12" t="s">
        <v>842</v>
      </c>
      <c r="L12" s="18" t="s">
        <v>1250</v>
      </c>
      <c r="M12" s="18">
        <v>8</v>
      </c>
      <c r="N12" s="18">
        <v>35</v>
      </c>
      <c r="O12" s="18">
        <v>4</v>
      </c>
      <c r="P12" s="18">
        <v>2</v>
      </c>
      <c r="Q12" s="18">
        <v>2</v>
      </c>
      <c r="R12" s="18">
        <v>3</v>
      </c>
      <c r="S12" s="18">
        <v>3</v>
      </c>
      <c r="T12" s="18">
        <v>1</v>
      </c>
      <c r="U12" s="18">
        <v>4</v>
      </c>
      <c r="V12" s="18">
        <v>1</v>
      </c>
      <c r="W12" s="18">
        <v>9</v>
      </c>
      <c r="X12" s="26" t="s">
        <v>1252</v>
      </c>
      <c r="Y12" s="17" t="s">
        <v>1251</v>
      </c>
      <c r="Z12" s="17" t="s">
        <v>798</v>
      </c>
    </row>
    <row r="13" spans="1:26" ht="12.75">
      <c r="A13" t="s">
        <v>32</v>
      </c>
      <c r="B13">
        <v>2</v>
      </c>
      <c r="E13" t="s">
        <v>191</v>
      </c>
      <c r="F13" t="s">
        <v>238</v>
      </c>
      <c r="G13" t="s">
        <v>239</v>
      </c>
      <c r="H13" t="s">
        <v>240</v>
      </c>
      <c r="I13" t="s">
        <v>843</v>
      </c>
      <c r="L13" s="18" t="s">
        <v>835</v>
      </c>
      <c r="M13" s="18">
        <v>0</v>
      </c>
      <c r="N13" s="18">
        <v>15</v>
      </c>
      <c r="O13" s="18">
        <v>4</v>
      </c>
      <c r="P13" s="18">
        <v>2</v>
      </c>
      <c r="Q13" s="18">
        <v>2</v>
      </c>
      <c r="R13" s="18">
        <v>3</v>
      </c>
      <c r="S13" s="18">
        <v>3</v>
      </c>
      <c r="T13" s="18">
        <v>1</v>
      </c>
      <c r="U13" s="18">
        <v>3</v>
      </c>
      <c r="V13" s="18">
        <v>1</v>
      </c>
      <c r="W13" s="18">
        <v>6</v>
      </c>
      <c r="X13" s="26"/>
      <c r="Y13" s="17" t="s">
        <v>412</v>
      </c>
      <c r="Z13" s="17" t="s">
        <v>791</v>
      </c>
    </row>
    <row r="14" spans="1:26" ht="12.75">
      <c r="A14" t="s">
        <v>648</v>
      </c>
      <c r="B14">
        <v>30</v>
      </c>
      <c r="E14" t="s">
        <v>192</v>
      </c>
      <c r="F14" t="s">
        <v>241</v>
      </c>
      <c r="G14" t="s">
        <v>242</v>
      </c>
      <c r="H14" t="s">
        <v>243</v>
      </c>
      <c r="I14" t="s">
        <v>844</v>
      </c>
      <c r="L14" t="s">
        <v>836</v>
      </c>
      <c r="M14">
        <v>0</v>
      </c>
      <c r="N14">
        <v>25</v>
      </c>
      <c r="O14">
        <v>4</v>
      </c>
      <c r="P14">
        <v>3</v>
      </c>
      <c r="Q14">
        <v>3</v>
      </c>
      <c r="R14">
        <v>3</v>
      </c>
      <c r="S14">
        <v>3</v>
      </c>
      <c r="T14">
        <v>1</v>
      </c>
      <c r="U14">
        <v>3</v>
      </c>
      <c r="V14">
        <v>1</v>
      </c>
      <c r="W14">
        <v>7</v>
      </c>
      <c r="X14" s="27"/>
      <c r="Y14" s="17" t="s">
        <v>412</v>
      </c>
      <c r="Z14" s="17"/>
    </row>
    <row r="15" spans="1:26" ht="12.75">
      <c r="A15" t="s">
        <v>33</v>
      </c>
      <c r="B15">
        <v>50</v>
      </c>
      <c r="E15" t="s">
        <v>193</v>
      </c>
      <c r="F15" t="s">
        <v>244</v>
      </c>
      <c r="G15" t="s">
        <v>245</v>
      </c>
      <c r="H15" t="s">
        <v>246</v>
      </c>
      <c r="I15" t="s">
        <v>845</v>
      </c>
      <c r="L15" t="s">
        <v>837</v>
      </c>
      <c r="M15">
        <v>0</v>
      </c>
      <c r="N15">
        <v>25</v>
      </c>
      <c r="O15">
        <v>4</v>
      </c>
      <c r="P15">
        <v>3</v>
      </c>
      <c r="Q15">
        <v>3</v>
      </c>
      <c r="R15">
        <v>3</v>
      </c>
      <c r="S15">
        <v>3</v>
      </c>
      <c r="T15">
        <v>1</v>
      </c>
      <c r="U15">
        <v>3</v>
      </c>
      <c r="V15">
        <v>1</v>
      </c>
      <c r="W15">
        <v>7</v>
      </c>
      <c r="X15" s="27"/>
      <c r="Y15" s="17" t="s">
        <v>413</v>
      </c>
      <c r="Z15" s="17"/>
    </row>
    <row r="16" spans="1:26" ht="12.75">
      <c r="A16" t="s">
        <v>549</v>
      </c>
      <c r="B16">
        <v>10</v>
      </c>
      <c r="E16" t="s">
        <v>194</v>
      </c>
      <c r="F16" t="s">
        <v>247</v>
      </c>
      <c r="G16" t="s">
        <v>248</v>
      </c>
      <c r="H16" t="s">
        <v>249</v>
      </c>
      <c r="I16" t="s">
        <v>849</v>
      </c>
      <c r="L16" t="s">
        <v>838</v>
      </c>
      <c r="M16">
        <v>0</v>
      </c>
      <c r="N16">
        <v>35</v>
      </c>
      <c r="O16">
        <v>4</v>
      </c>
      <c r="P16">
        <v>4</v>
      </c>
      <c r="Q16">
        <v>3</v>
      </c>
      <c r="R16">
        <v>3</v>
      </c>
      <c r="S16">
        <v>3</v>
      </c>
      <c r="T16">
        <v>1</v>
      </c>
      <c r="U16">
        <v>3</v>
      </c>
      <c r="V16">
        <v>1</v>
      </c>
      <c r="W16">
        <v>7</v>
      </c>
      <c r="X16" s="27" t="s">
        <v>133</v>
      </c>
      <c r="Y16" s="17" t="s">
        <v>412</v>
      </c>
      <c r="Z16" s="17"/>
    </row>
    <row r="17" spans="1:26" ht="12.75">
      <c r="A17" t="s">
        <v>34</v>
      </c>
      <c r="B17">
        <v>5</v>
      </c>
      <c r="D17" s="18" t="s">
        <v>186</v>
      </c>
      <c r="E17" t="s">
        <v>205</v>
      </c>
      <c r="F17" t="s">
        <v>250</v>
      </c>
      <c r="G17" t="s">
        <v>251</v>
      </c>
      <c r="H17" t="s">
        <v>252</v>
      </c>
      <c r="I17" t="s">
        <v>846</v>
      </c>
      <c r="X17" s="27"/>
      <c r="Y17" s="17"/>
      <c r="Z17" s="17"/>
    </row>
    <row r="18" spans="1:26" ht="12.75">
      <c r="A18" t="s">
        <v>35</v>
      </c>
      <c r="B18">
        <v>15</v>
      </c>
      <c r="E18" t="s">
        <v>206</v>
      </c>
      <c r="F18" t="s">
        <v>610</v>
      </c>
      <c r="G18" t="s">
        <v>341</v>
      </c>
      <c r="H18" t="s">
        <v>342</v>
      </c>
      <c r="I18" t="s">
        <v>847</v>
      </c>
      <c r="L18" s="21" t="s">
        <v>814</v>
      </c>
      <c r="M18" s="21">
        <v>20</v>
      </c>
      <c r="N18" s="21">
        <v>60</v>
      </c>
      <c r="O18" s="21">
        <v>4</v>
      </c>
      <c r="P18" s="21">
        <v>4</v>
      </c>
      <c r="Q18" s="21">
        <v>4</v>
      </c>
      <c r="R18" s="21">
        <v>4</v>
      </c>
      <c r="S18" s="21">
        <v>3</v>
      </c>
      <c r="T18" s="21">
        <v>1</v>
      </c>
      <c r="U18" s="21">
        <v>4</v>
      </c>
      <c r="V18" s="21">
        <v>1</v>
      </c>
      <c r="W18" s="21">
        <v>8</v>
      </c>
      <c r="X18" s="25" t="s">
        <v>119</v>
      </c>
      <c r="Y18" s="17" t="s">
        <v>412</v>
      </c>
      <c r="Z18" s="17" t="s">
        <v>790</v>
      </c>
    </row>
    <row r="19" spans="1:26" ht="12.75">
      <c r="A19" t="s">
        <v>563</v>
      </c>
      <c r="B19">
        <v>5</v>
      </c>
      <c r="E19" t="s">
        <v>207</v>
      </c>
      <c r="F19" t="s">
        <v>353</v>
      </c>
      <c r="G19" t="s">
        <v>354</v>
      </c>
      <c r="H19" t="s">
        <v>355</v>
      </c>
      <c r="I19" t="s">
        <v>850</v>
      </c>
      <c r="L19" s="18" t="s">
        <v>815</v>
      </c>
      <c r="M19" s="18">
        <v>8</v>
      </c>
      <c r="N19" s="18">
        <v>35</v>
      </c>
      <c r="O19" s="18">
        <v>4</v>
      </c>
      <c r="P19" s="18">
        <v>4</v>
      </c>
      <c r="Q19" s="18">
        <v>3</v>
      </c>
      <c r="R19" s="18">
        <v>4</v>
      </c>
      <c r="S19" s="18">
        <v>3</v>
      </c>
      <c r="T19" s="18">
        <v>1</v>
      </c>
      <c r="U19" s="18">
        <v>3</v>
      </c>
      <c r="V19" s="18">
        <v>1</v>
      </c>
      <c r="W19" s="18">
        <v>7</v>
      </c>
      <c r="X19" s="26"/>
      <c r="Y19" s="17" t="s">
        <v>412</v>
      </c>
      <c r="Z19" s="17" t="s">
        <v>801</v>
      </c>
    </row>
    <row r="20" spans="1:26" ht="12.75">
      <c r="A20" t="s">
        <v>36</v>
      </c>
      <c r="B20">
        <v>10</v>
      </c>
      <c r="E20" t="s">
        <v>208</v>
      </c>
      <c r="F20" t="s">
        <v>253</v>
      </c>
      <c r="G20" t="s">
        <v>254</v>
      </c>
      <c r="H20" t="s">
        <v>255</v>
      </c>
      <c r="I20" t="s">
        <v>859</v>
      </c>
      <c r="L20" s="18" t="s">
        <v>1250</v>
      </c>
      <c r="M20" s="18">
        <v>8</v>
      </c>
      <c r="N20" s="18">
        <v>35</v>
      </c>
      <c r="O20" s="18">
        <v>4</v>
      </c>
      <c r="P20" s="18">
        <v>2</v>
      </c>
      <c r="Q20" s="18">
        <v>2</v>
      </c>
      <c r="R20" s="18">
        <v>3</v>
      </c>
      <c r="S20" s="18">
        <v>3</v>
      </c>
      <c r="T20" s="18">
        <v>1</v>
      </c>
      <c r="U20" s="18">
        <v>4</v>
      </c>
      <c r="V20" s="18">
        <v>1</v>
      </c>
      <c r="W20" s="18">
        <v>9</v>
      </c>
      <c r="X20" s="26" t="s">
        <v>1252</v>
      </c>
      <c r="Y20" s="17" t="s">
        <v>1251</v>
      </c>
      <c r="Z20" s="17" t="s">
        <v>798</v>
      </c>
    </row>
    <row r="21" spans="1:26" ht="12.75">
      <c r="A21" t="s">
        <v>37</v>
      </c>
      <c r="B21">
        <v>80</v>
      </c>
      <c r="E21" t="s">
        <v>1131</v>
      </c>
      <c r="F21" t="s">
        <v>256</v>
      </c>
      <c r="G21" t="s">
        <v>257</v>
      </c>
      <c r="H21" t="s">
        <v>258</v>
      </c>
      <c r="I21" t="s">
        <v>1130</v>
      </c>
      <c r="L21" s="18" t="s">
        <v>1256</v>
      </c>
      <c r="M21" s="18">
        <v>0</v>
      </c>
      <c r="N21" s="18">
        <v>60</v>
      </c>
      <c r="O21" s="18">
        <v>4</v>
      </c>
      <c r="P21" s="18">
        <v>3</v>
      </c>
      <c r="Q21" s="18">
        <v>2</v>
      </c>
      <c r="R21" s="18">
        <v>3</v>
      </c>
      <c r="S21" s="18">
        <v>3</v>
      </c>
      <c r="T21" s="18">
        <v>1</v>
      </c>
      <c r="U21" s="18">
        <v>3</v>
      </c>
      <c r="V21" s="18">
        <v>1</v>
      </c>
      <c r="W21" s="18">
        <v>8</v>
      </c>
      <c r="X21" s="26" t="s">
        <v>1259</v>
      </c>
      <c r="Y21" s="17" t="s">
        <v>1258</v>
      </c>
      <c r="Z21" s="17" t="s">
        <v>1257</v>
      </c>
    </row>
    <row r="22" spans="1:26" ht="12.75">
      <c r="A22" t="s">
        <v>442</v>
      </c>
      <c r="B22">
        <v>5</v>
      </c>
      <c r="E22" t="s">
        <v>209</v>
      </c>
      <c r="F22" t="s">
        <v>259</v>
      </c>
      <c r="G22" t="s">
        <v>260</v>
      </c>
      <c r="H22" t="s">
        <v>261</v>
      </c>
      <c r="I22" t="s">
        <v>865</v>
      </c>
      <c r="L22" s="18" t="s">
        <v>816</v>
      </c>
      <c r="M22" s="18">
        <v>0</v>
      </c>
      <c r="N22" s="18">
        <v>15</v>
      </c>
      <c r="O22" s="18">
        <v>4</v>
      </c>
      <c r="P22" s="18">
        <v>2</v>
      </c>
      <c r="Q22" s="18">
        <v>2</v>
      </c>
      <c r="R22" s="18">
        <v>3</v>
      </c>
      <c r="S22" s="18">
        <v>3</v>
      </c>
      <c r="T22" s="18">
        <v>1</v>
      </c>
      <c r="U22" s="18">
        <v>3</v>
      </c>
      <c r="V22" s="18">
        <v>1</v>
      </c>
      <c r="W22" s="18">
        <v>6</v>
      </c>
      <c r="X22" s="26"/>
      <c r="Y22" s="17" t="s">
        <v>412</v>
      </c>
      <c r="Z22" s="17" t="s">
        <v>801</v>
      </c>
    </row>
    <row r="23" spans="1:26" ht="12.75">
      <c r="A23" t="s">
        <v>1036</v>
      </c>
      <c r="B23">
        <v>75</v>
      </c>
      <c r="E23" t="s">
        <v>210</v>
      </c>
      <c r="F23" t="s">
        <v>262</v>
      </c>
      <c r="G23" t="s">
        <v>263</v>
      </c>
      <c r="H23" t="s">
        <v>264</v>
      </c>
      <c r="I23" t="s">
        <v>868</v>
      </c>
      <c r="L23" t="s">
        <v>817</v>
      </c>
      <c r="M23">
        <v>0</v>
      </c>
      <c r="N23">
        <v>25</v>
      </c>
      <c r="O23">
        <v>4</v>
      </c>
      <c r="P23">
        <v>3</v>
      </c>
      <c r="Q23">
        <v>3</v>
      </c>
      <c r="R23">
        <v>3</v>
      </c>
      <c r="S23">
        <v>3</v>
      </c>
      <c r="T23">
        <v>1</v>
      </c>
      <c r="U23">
        <v>3</v>
      </c>
      <c r="V23">
        <v>1</v>
      </c>
      <c r="W23">
        <v>7</v>
      </c>
      <c r="X23" s="27"/>
      <c r="Y23" s="17" t="s">
        <v>412</v>
      </c>
      <c r="Z23" s="17"/>
    </row>
    <row r="24" spans="1:26" ht="12.75">
      <c r="A24" t="s">
        <v>613</v>
      </c>
      <c r="B24">
        <v>10</v>
      </c>
      <c r="E24" t="s">
        <v>211</v>
      </c>
      <c r="F24" t="s">
        <v>265</v>
      </c>
      <c r="G24" t="s">
        <v>266</v>
      </c>
      <c r="H24" t="s">
        <v>267</v>
      </c>
      <c r="I24" t="s">
        <v>869</v>
      </c>
      <c r="L24" t="s">
        <v>818</v>
      </c>
      <c r="M24">
        <v>0</v>
      </c>
      <c r="N24">
        <v>25</v>
      </c>
      <c r="O24">
        <v>4</v>
      </c>
      <c r="P24">
        <v>3</v>
      </c>
      <c r="Q24">
        <v>3</v>
      </c>
      <c r="R24">
        <v>3</v>
      </c>
      <c r="S24">
        <v>3</v>
      </c>
      <c r="T24">
        <v>1</v>
      </c>
      <c r="U24">
        <v>3</v>
      </c>
      <c r="V24">
        <v>1</v>
      </c>
      <c r="W24">
        <v>7</v>
      </c>
      <c r="X24" s="27"/>
      <c r="Y24" s="17" t="s">
        <v>413</v>
      </c>
      <c r="Z24" s="17"/>
    </row>
    <row r="25" spans="1:26" ht="12.75">
      <c r="A25" t="s">
        <v>961</v>
      </c>
      <c r="B25">
        <v>30</v>
      </c>
      <c r="E25" t="s">
        <v>212</v>
      </c>
      <c r="F25" t="s">
        <v>268</v>
      </c>
      <c r="G25" t="s">
        <v>269</v>
      </c>
      <c r="H25" t="s">
        <v>270</v>
      </c>
      <c r="I25" t="s">
        <v>874</v>
      </c>
      <c r="L25" s="20" t="s">
        <v>1260</v>
      </c>
      <c r="M25" s="20">
        <v>0</v>
      </c>
      <c r="N25" s="20">
        <v>25</v>
      </c>
      <c r="O25" s="20">
        <v>6</v>
      </c>
      <c r="P25" s="20">
        <v>4</v>
      </c>
      <c r="Q25" s="20">
        <v>0</v>
      </c>
      <c r="R25" s="20">
        <v>4</v>
      </c>
      <c r="S25" s="20">
        <v>4</v>
      </c>
      <c r="T25" s="20">
        <v>1</v>
      </c>
      <c r="U25" s="20">
        <v>4</v>
      </c>
      <c r="V25" s="20">
        <v>2</v>
      </c>
      <c r="W25" s="20">
        <v>5</v>
      </c>
      <c r="X25" s="99" t="s">
        <v>1261</v>
      </c>
      <c r="Y25" s="23" t="s">
        <v>1265</v>
      </c>
      <c r="Z25" s="17"/>
    </row>
    <row r="26" spans="1:26" ht="12.75">
      <c r="A26" t="s">
        <v>720</v>
      </c>
      <c r="B26">
        <v>10</v>
      </c>
      <c r="E26" t="s">
        <v>213</v>
      </c>
      <c r="F26" t="s">
        <v>271</v>
      </c>
      <c r="G26" t="s">
        <v>272</v>
      </c>
      <c r="H26" t="s">
        <v>273</v>
      </c>
      <c r="I26" t="s">
        <v>873</v>
      </c>
      <c r="L26" t="s">
        <v>819</v>
      </c>
      <c r="M26">
        <v>0</v>
      </c>
      <c r="N26">
        <v>35</v>
      </c>
      <c r="O26">
        <v>4</v>
      </c>
      <c r="P26">
        <v>4</v>
      </c>
      <c r="Q26">
        <v>3</v>
      </c>
      <c r="R26">
        <v>3</v>
      </c>
      <c r="S26">
        <v>3</v>
      </c>
      <c r="T26">
        <v>1</v>
      </c>
      <c r="U26">
        <v>3</v>
      </c>
      <c r="V26">
        <v>1</v>
      </c>
      <c r="W26">
        <v>7</v>
      </c>
      <c r="X26" s="27" t="s">
        <v>133</v>
      </c>
      <c r="Y26" s="17" t="s">
        <v>412</v>
      </c>
      <c r="Z26" s="17"/>
    </row>
    <row r="27" spans="1:26" ht="12.75">
      <c r="A27" t="s">
        <v>424</v>
      </c>
      <c r="B27">
        <v>10</v>
      </c>
      <c r="D27" s="18" t="s">
        <v>187</v>
      </c>
      <c r="E27" t="s">
        <v>479</v>
      </c>
      <c r="F27" t="s">
        <v>480</v>
      </c>
      <c r="G27" t="s">
        <v>481</v>
      </c>
      <c r="H27" t="s">
        <v>482</v>
      </c>
      <c r="J27" t="s">
        <v>672</v>
      </c>
      <c r="X27" s="27"/>
      <c r="Y27" s="17"/>
      <c r="Z27" s="17"/>
    </row>
    <row r="28" spans="1:26" ht="12.75">
      <c r="A28" t="s">
        <v>38</v>
      </c>
      <c r="B28">
        <v>25</v>
      </c>
      <c r="E28" t="s">
        <v>1133</v>
      </c>
      <c r="F28" t="s">
        <v>1134</v>
      </c>
      <c r="G28" t="s">
        <v>1135</v>
      </c>
      <c r="H28" t="s">
        <v>1136</v>
      </c>
      <c r="I28" t="s">
        <v>1137</v>
      </c>
      <c r="J28" t="s">
        <v>672</v>
      </c>
      <c r="L28" s="21" t="s">
        <v>822</v>
      </c>
      <c r="M28" s="21">
        <v>20</v>
      </c>
      <c r="N28" s="21">
        <v>60</v>
      </c>
      <c r="O28" s="21">
        <v>4</v>
      </c>
      <c r="P28" s="21">
        <v>4</v>
      </c>
      <c r="Q28" s="21">
        <v>4</v>
      </c>
      <c r="R28" s="21">
        <v>3</v>
      </c>
      <c r="S28" s="21">
        <v>3</v>
      </c>
      <c r="T28" s="21">
        <v>1</v>
      </c>
      <c r="U28" s="21">
        <v>4</v>
      </c>
      <c r="V28" s="21">
        <v>1</v>
      </c>
      <c r="W28" s="21">
        <v>8</v>
      </c>
      <c r="X28" s="25" t="s">
        <v>119</v>
      </c>
      <c r="Y28" s="17" t="s">
        <v>412</v>
      </c>
      <c r="Z28" s="17" t="s">
        <v>790</v>
      </c>
    </row>
    <row r="29" spans="1:26" ht="12.75">
      <c r="A29" t="s">
        <v>39</v>
      </c>
      <c r="B29">
        <v>30</v>
      </c>
      <c r="E29" t="s">
        <v>1155</v>
      </c>
      <c r="F29" t="s">
        <v>1134</v>
      </c>
      <c r="G29" t="s">
        <v>1135</v>
      </c>
      <c r="H29" t="s">
        <v>1136</v>
      </c>
      <c r="I29" t="s">
        <v>1156</v>
      </c>
      <c r="J29" t="s">
        <v>1093</v>
      </c>
      <c r="L29" s="18" t="s">
        <v>823</v>
      </c>
      <c r="M29" s="18">
        <v>8</v>
      </c>
      <c r="N29" s="18">
        <v>35</v>
      </c>
      <c r="O29" s="18">
        <v>4</v>
      </c>
      <c r="P29" s="18">
        <v>4</v>
      </c>
      <c r="Q29" s="18">
        <v>3</v>
      </c>
      <c r="R29" s="18">
        <v>3</v>
      </c>
      <c r="S29" s="18">
        <v>3</v>
      </c>
      <c r="T29" s="18">
        <v>1</v>
      </c>
      <c r="U29" s="18">
        <v>3</v>
      </c>
      <c r="V29" s="18">
        <v>1</v>
      </c>
      <c r="W29" s="18">
        <v>7</v>
      </c>
      <c r="X29" s="26"/>
      <c r="Y29" s="17" t="s">
        <v>412</v>
      </c>
      <c r="Z29" s="17" t="s">
        <v>839</v>
      </c>
    </row>
    <row r="30" spans="1:26" ht="12.75">
      <c r="A30" t="s">
        <v>557</v>
      </c>
      <c r="B30">
        <v>8</v>
      </c>
      <c r="E30" t="s">
        <v>1157</v>
      </c>
      <c r="F30" t="s">
        <v>1168</v>
      </c>
      <c r="G30" t="s">
        <v>1169</v>
      </c>
      <c r="H30" t="s">
        <v>1170</v>
      </c>
      <c r="I30" t="s">
        <v>1158</v>
      </c>
      <c r="J30" t="s">
        <v>1093</v>
      </c>
      <c r="L30" s="18" t="s">
        <v>1250</v>
      </c>
      <c r="M30" s="18">
        <v>8</v>
      </c>
      <c r="N30" s="18">
        <v>35</v>
      </c>
      <c r="O30" s="18">
        <v>4</v>
      </c>
      <c r="P30" s="18">
        <v>2</v>
      </c>
      <c r="Q30" s="18">
        <v>2</v>
      </c>
      <c r="R30" s="18">
        <v>3</v>
      </c>
      <c r="S30" s="18">
        <v>3</v>
      </c>
      <c r="T30" s="18">
        <v>1</v>
      </c>
      <c r="U30" s="18">
        <v>4</v>
      </c>
      <c r="V30" s="18">
        <v>1</v>
      </c>
      <c r="W30" s="18">
        <v>9</v>
      </c>
      <c r="X30" s="26" t="s">
        <v>1252</v>
      </c>
      <c r="Y30" s="17" t="s">
        <v>1251</v>
      </c>
      <c r="Z30" s="17" t="s">
        <v>798</v>
      </c>
    </row>
    <row r="31" spans="1:26" ht="12.75">
      <c r="A31" t="s">
        <v>630</v>
      </c>
      <c r="B31">
        <v>5</v>
      </c>
      <c r="E31" t="s">
        <v>1159</v>
      </c>
      <c r="F31" t="s">
        <v>1181</v>
      </c>
      <c r="G31" t="s">
        <v>1182</v>
      </c>
      <c r="H31" t="s">
        <v>1183</v>
      </c>
      <c r="I31" t="s">
        <v>1160</v>
      </c>
      <c r="J31" t="s">
        <v>503</v>
      </c>
      <c r="L31" s="18" t="s">
        <v>824</v>
      </c>
      <c r="M31" s="18">
        <v>0</v>
      </c>
      <c r="N31" s="18">
        <v>15</v>
      </c>
      <c r="O31" s="18">
        <v>4</v>
      </c>
      <c r="P31" s="18">
        <v>2</v>
      </c>
      <c r="Q31" s="18">
        <v>2</v>
      </c>
      <c r="R31" s="18">
        <v>3</v>
      </c>
      <c r="S31" s="18">
        <v>3</v>
      </c>
      <c r="T31" s="18">
        <v>1</v>
      </c>
      <c r="U31" s="18">
        <v>3</v>
      </c>
      <c r="V31" s="18">
        <v>1</v>
      </c>
      <c r="W31" s="18">
        <v>6</v>
      </c>
      <c r="X31" s="26"/>
      <c r="Y31" s="17" t="s">
        <v>412</v>
      </c>
      <c r="Z31" s="17" t="s">
        <v>791</v>
      </c>
    </row>
    <row r="32" spans="1:26" ht="12.75">
      <c r="A32" t="s">
        <v>628</v>
      </c>
      <c r="B32">
        <v>10</v>
      </c>
      <c r="E32" t="s">
        <v>1185</v>
      </c>
      <c r="F32" t="s">
        <v>1212</v>
      </c>
      <c r="G32" t="s">
        <v>1186</v>
      </c>
      <c r="H32" t="s">
        <v>1187</v>
      </c>
      <c r="I32" t="s">
        <v>1188</v>
      </c>
      <c r="L32" t="s">
        <v>825</v>
      </c>
      <c r="M32">
        <v>0</v>
      </c>
      <c r="N32">
        <v>25</v>
      </c>
      <c r="O32">
        <v>4</v>
      </c>
      <c r="P32">
        <v>3</v>
      </c>
      <c r="Q32">
        <v>3</v>
      </c>
      <c r="R32">
        <v>3</v>
      </c>
      <c r="S32">
        <v>3</v>
      </c>
      <c r="T32">
        <v>1</v>
      </c>
      <c r="U32">
        <v>3</v>
      </c>
      <c r="V32">
        <v>1</v>
      </c>
      <c r="W32">
        <v>7</v>
      </c>
      <c r="X32" s="27"/>
      <c r="Y32" s="17" t="s">
        <v>412</v>
      </c>
      <c r="Z32" s="17"/>
    </row>
    <row r="33" spans="1:26" ht="12.75">
      <c r="A33" t="s">
        <v>1071</v>
      </c>
      <c r="B33">
        <v>200</v>
      </c>
      <c r="E33" t="s">
        <v>1094</v>
      </c>
      <c r="F33" t="s">
        <v>1095</v>
      </c>
      <c r="G33" t="s">
        <v>1127</v>
      </c>
      <c r="H33" t="s">
        <v>1096</v>
      </c>
      <c r="I33" t="s">
        <v>1097</v>
      </c>
      <c r="J33" t="s">
        <v>939</v>
      </c>
      <c r="L33" t="s">
        <v>826</v>
      </c>
      <c r="M33">
        <v>0</v>
      </c>
      <c r="N33">
        <v>25</v>
      </c>
      <c r="O33">
        <v>4</v>
      </c>
      <c r="P33">
        <v>3</v>
      </c>
      <c r="Q33">
        <v>4</v>
      </c>
      <c r="R33">
        <v>3</v>
      </c>
      <c r="S33">
        <v>3</v>
      </c>
      <c r="T33">
        <v>1</v>
      </c>
      <c r="U33">
        <v>3</v>
      </c>
      <c r="V33">
        <v>1</v>
      </c>
      <c r="W33">
        <v>7</v>
      </c>
      <c r="X33" s="27"/>
      <c r="Y33" s="17" t="s">
        <v>413</v>
      </c>
      <c r="Z33" s="17"/>
    </row>
    <row r="34" spans="1:26" ht="12.75">
      <c r="A34" t="s">
        <v>40</v>
      </c>
      <c r="B34">
        <v>5</v>
      </c>
      <c r="E34" t="s">
        <v>1116</v>
      </c>
      <c r="F34" t="s">
        <v>1117</v>
      </c>
      <c r="G34" t="s">
        <v>1118</v>
      </c>
      <c r="H34" t="s">
        <v>1119</v>
      </c>
      <c r="J34" t="s">
        <v>939</v>
      </c>
      <c r="L34" t="s">
        <v>827</v>
      </c>
      <c r="M34">
        <v>0</v>
      </c>
      <c r="N34">
        <v>35</v>
      </c>
      <c r="O34">
        <v>4</v>
      </c>
      <c r="P34">
        <v>4</v>
      </c>
      <c r="Q34">
        <v>3</v>
      </c>
      <c r="R34">
        <v>3</v>
      </c>
      <c r="S34">
        <v>3</v>
      </c>
      <c r="T34">
        <v>1</v>
      </c>
      <c r="U34">
        <v>3</v>
      </c>
      <c r="V34">
        <v>1</v>
      </c>
      <c r="W34">
        <v>7</v>
      </c>
      <c r="X34" s="27" t="s">
        <v>133</v>
      </c>
      <c r="Y34" s="17" t="s">
        <v>412</v>
      </c>
      <c r="Z34" s="17"/>
    </row>
    <row r="35" spans="1:26" ht="12.75">
      <c r="A35" t="s">
        <v>41</v>
      </c>
      <c r="B35">
        <v>10</v>
      </c>
      <c r="E35" t="s">
        <v>499</v>
      </c>
      <c r="F35" t="s">
        <v>500</v>
      </c>
      <c r="G35" t="s">
        <v>501</v>
      </c>
      <c r="H35" t="s">
        <v>502</v>
      </c>
      <c r="I35" t="s">
        <v>879</v>
      </c>
      <c r="X35" s="27"/>
      <c r="Y35" s="17"/>
      <c r="Z35" s="17"/>
    </row>
    <row r="36" spans="1:26" ht="12.75">
      <c r="A36" t="s">
        <v>42</v>
      </c>
      <c r="B36">
        <v>35</v>
      </c>
      <c r="E36" t="s">
        <v>934</v>
      </c>
      <c r="F36" t="s">
        <v>935</v>
      </c>
      <c r="G36" t="s">
        <v>936</v>
      </c>
      <c r="H36" t="s">
        <v>937</v>
      </c>
      <c r="I36" t="s">
        <v>938</v>
      </c>
      <c r="L36" s="21" t="s">
        <v>134</v>
      </c>
      <c r="M36" s="21">
        <v>20</v>
      </c>
      <c r="N36" s="21">
        <v>70</v>
      </c>
      <c r="O36" s="21">
        <v>4</v>
      </c>
      <c r="P36" s="21">
        <v>4</v>
      </c>
      <c r="Q36" s="21">
        <v>4</v>
      </c>
      <c r="R36" s="21">
        <v>3</v>
      </c>
      <c r="S36" s="21">
        <v>3</v>
      </c>
      <c r="T36" s="21">
        <v>1</v>
      </c>
      <c r="U36" s="21">
        <v>4</v>
      </c>
      <c r="V36" s="21">
        <v>1</v>
      </c>
      <c r="W36" s="21">
        <v>8</v>
      </c>
      <c r="X36" s="25" t="s">
        <v>179</v>
      </c>
      <c r="Y36" s="32" t="s">
        <v>422</v>
      </c>
      <c r="Z36" s="32" t="s">
        <v>792</v>
      </c>
    </row>
    <row r="37" spans="1:26" ht="12.75">
      <c r="A37" t="s">
        <v>609</v>
      </c>
      <c r="B37">
        <v>30</v>
      </c>
      <c r="C37" t="s">
        <v>516</v>
      </c>
      <c r="E37" t="s">
        <v>1081</v>
      </c>
      <c r="F37" t="s">
        <v>1082</v>
      </c>
      <c r="G37" t="s">
        <v>1083</v>
      </c>
      <c r="H37" t="s">
        <v>1084</v>
      </c>
      <c r="L37" s="18" t="s">
        <v>135</v>
      </c>
      <c r="M37" s="18">
        <v>8</v>
      </c>
      <c r="N37" s="18">
        <v>35</v>
      </c>
      <c r="O37" s="18">
        <v>4</v>
      </c>
      <c r="P37" s="18">
        <v>4</v>
      </c>
      <c r="Q37" s="18">
        <v>3</v>
      </c>
      <c r="R37" s="18">
        <v>3</v>
      </c>
      <c r="S37" s="18">
        <v>3</v>
      </c>
      <c r="T37" s="18">
        <v>1</v>
      </c>
      <c r="U37" s="18">
        <v>3</v>
      </c>
      <c r="V37" s="18">
        <v>1</v>
      </c>
      <c r="W37" s="18">
        <v>7</v>
      </c>
      <c r="X37" s="26"/>
      <c r="Y37" s="32" t="s">
        <v>422</v>
      </c>
      <c r="Z37" s="32" t="s">
        <v>792</v>
      </c>
    </row>
    <row r="38" spans="1:26" ht="12.75">
      <c r="A38" t="s">
        <v>608</v>
      </c>
      <c r="B38">
        <v>5</v>
      </c>
      <c r="E38" t="s">
        <v>1213</v>
      </c>
      <c r="F38" t="s">
        <v>1228</v>
      </c>
      <c r="G38" t="s">
        <v>1229</v>
      </c>
      <c r="H38" t="s">
        <v>1230</v>
      </c>
      <c r="I38" t="s">
        <v>1214</v>
      </c>
      <c r="L38" s="18" t="s">
        <v>136</v>
      </c>
      <c r="M38" s="18">
        <v>0</v>
      </c>
      <c r="N38" s="18">
        <v>25</v>
      </c>
      <c r="O38" s="18">
        <v>4</v>
      </c>
      <c r="P38" s="18">
        <v>2</v>
      </c>
      <c r="Q38" s="18">
        <v>2</v>
      </c>
      <c r="R38" s="18">
        <v>3</v>
      </c>
      <c r="S38" s="18">
        <v>3</v>
      </c>
      <c r="T38" s="18">
        <v>1</v>
      </c>
      <c r="U38" s="18">
        <v>3</v>
      </c>
      <c r="V38" s="18">
        <v>1</v>
      </c>
      <c r="W38" s="18">
        <v>7</v>
      </c>
      <c r="X38" s="26" t="s">
        <v>138</v>
      </c>
      <c r="Y38" s="32" t="s">
        <v>422</v>
      </c>
      <c r="Z38" s="32" t="s">
        <v>793</v>
      </c>
    </row>
    <row r="39" spans="1:26" ht="12.75">
      <c r="A39" t="s">
        <v>43</v>
      </c>
      <c r="B39">
        <v>5</v>
      </c>
      <c r="E39" t="s">
        <v>1238</v>
      </c>
      <c r="F39" t="s">
        <v>1239</v>
      </c>
      <c r="G39" t="s">
        <v>1240</v>
      </c>
      <c r="H39" t="s">
        <v>1241</v>
      </c>
      <c r="I39" t="s">
        <v>1242</v>
      </c>
      <c r="J39" t="s">
        <v>1093</v>
      </c>
      <c r="L39" t="s">
        <v>1264</v>
      </c>
      <c r="M39">
        <v>0</v>
      </c>
      <c r="N39">
        <v>25</v>
      </c>
      <c r="O39">
        <v>4</v>
      </c>
      <c r="P39">
        <v>3</v>
      </c>
      <c r="Q39">
        <v>3</v>
      </c>
      <c r="R39">
        <v>3</v>
      </c>
      <c r="S39">
        <v>3</v>
      </c>
      <c r="T39">
        <v>1</v>
      </c>
      <c r="U39">
        <v>3</v>
      </c>
      <c r="V39">
        <v>1</v>
      </c>
      <c r="W39">
        <v>7</v>
      </c>
      <c r="X39" s="27"/>
      <c r="Y39" s="32" t="s">
        <v>421</v>
      </c>
      <c r="Z39" s="32"/>
    </row>
    <row r="40" spans="1:26" ht="12.75">
      <c r="A40" t="s">
        <v>1037</v>
      </c>
      <c r="B40">
        <v>50</v>
      </c>
      <c r="E40" t="s">
        <v>1315</v>
      </c>
      <c r="F40" t="s">
        <v>1316</v>
      </c>
      <c r="G40" t="s">
        <v>1317</v>
      </c>
      <c r="H40" t="s">
        <v>1318</v>
      </c>
      <c r="I40" t="s">
        <v>1335</v>
      </c>
      <c r="J40" t="s">
        <v>1336</v>
      </c>
      <c r="L40" t="s">
        <v>137</v>
      </c>
      <c r="M40">
        <v>0</v>
      </c>
      <c r="N40">
        <v>15</v>
      </c>
      <c r="O40">
        <v>4</v>
      </c>
      <c r="P40">
        <v>2</v>
      </c>
      <c r="Q40">
        <v>2</v>
      </c>
      <c r="R40">
        <v>3</v>
      </c>
      <c r="S40">
        <v>3</v>
      </c>
      <c r="T40">
        <v>1</v>
      </c>
      <c r="U40">
        <v>3</v>
      </c>
      <c r="V40">
        <v>1</v>
      </c>
      <c r="W40">
        <v>6</v>
      </c>
      <c r="X40" s="27"/>
      <c r="Y40" s="32" t="s">
        <v>421</v>
      </c>
      <c r="Z40" s="32"/>
    </row>
    <row r="41" spans="1:26" ht="12.75">
      <c r="A41" t="s">
        <v>967</v>
      </c>
      <c r="B41">
        <v>10</v>
      </c>
      <c r="E41" t="s">
        <v>1319</v>
      </c>
      <c r="F41" t="s">
        <v>1320</v>
      </c>
      <c r="G41" t="s">
        <v>1321</v>
      </c>
      <c r="H41" t="s">
        <v>1322</v>
      </c>
      <c r="I41" t="s">
        <v>1334</v>
      </c>
      <c r="J41" t="s">
        <v>1093</v>
      </c>
      <c r="X41" s="27"/>
      <c r="Y41" s="17"/>
      <c r="Z41" s="17"/>
    </row>
    <row r="42" spans="1:26" ht="12.75">
      <c r="A42" t="s">
        <v>1038</v>
      </c>
      <c r="B42">
        <v>15</v>
      </c>
      <c r="E42" t="s">
        <v>1341</v>
      </c>
      <c r="F42" t="s">
        <v>1342</v>
      </c>
      <c r="G42" t="s">
        <v>1343</v>
      </c>
      <c r="H42" t="s">
        <v>1344</v>
      </c>
      <c r="L42" s="21" t="s">
        <v>139</v>
      </c>
      <c r="M42" s="21">
        <v>20</v>
      </c>
      <c r="N42" s="21">
        <v>60</v>
      </c>
      <c r="O42" s="21">
        <v>6</v>
      </c>
      <c r="P42" s="21">
        <v>4</v>
      </c>
      <c r="Q42" s="21">
        <v>4</v>
      </c>
      <c r="R42" s="21">
        <v>4</v>
      </c>
      <c r="S42" s="21">
        <v>3</v>
      </c>
      <c r="T42" s="21">
        <v>1</v>
      </c>
      <c r="U42" s="21">
        <v>5</v>
      </c>
      <c r="V42" s="21">
        <v>1</v>
      </c>
      <c r="W42" s="21">
        <v>7</v>
      </c>
      <c r="X42" s="25" t="s">
        <v>180</v>
      </c>
      <c r="Y42" s="17" t="s">
        <v>426</v>
      </c>
      <c r="Z42" s="17" t="s">
        <v>795</v>
      </c>
    </row>
    <row r="43" spans="1:26" ht="12.75">
      <c r="A43" t="s">
        <v>558</v>
      </c>
      <c r="B43">
        <v>8</v>
      </c>
      <c r="L43" s="18" t="s">
        <v>140</v>
      </c>
      <c r="M43" s="18">
        <v>8</v>
      </c>
      <c r="N43" s="18">
        <v>40</v>
      </c>
      <c r="O43" s="18">
        <v>5</v>
      </c>
      <c r="P43" s="18">
        <v>3</v>
      </c>
      <c r="Q43" s="18">
        <v>3</v>
      </c>
      <c r="R43" s="18">
        <v>3</v>
      </c>
      <c r="S43" s="18">
        <v>3</v>
      </c>
      <c r="T43" s="18">
        <v>1</v>
      </c>
      <c r="U43" s="18">
        <v>4</v>
      </c>
      <c r="V43" s="18">
        <v>1</v>
      </c>
      <c r="W43" s="18">
        <v>6</v>
      </c>
      <c r="X43" s="26" t="s">
        <v>120</v>
      </c>
      <c r="Y43" s="17" t="s">
        <v>426</v>
      </c>
      <c r="Z43" s="17" t="s">
        <v>793</v>
      </c>
    </row>
    <row r="44" spans="1:26" ht="12.75">
      <c r="A44" t="s">
        <v>959</v>
      </c>
      <c r="B44">
        <v>35</v>
      </c>
      <c r="L44" s="18" t="s">
        <v>141</v>
      </c>
      <c r="M44" s="18">
        <v>8</v>
      </c>
      <c r="N44" s="18">
        <v>45</v>
      </c>
      <c r="O44" s="18">
        <v>6</v>
      </c>
      <c r="P44" s="18">
        <v>4</v>
      </c>
      <c r="Q44" s="18">
        <v>3</v>
      </c>
      <c r="R44" s="18">
        <v>4</v>
      </c>
      <c r="S44" s="18">
        <v>3</v>
      </c>
      <c r="T44" s="18">
        <v>1</v>
      </c>
      <c r="U44" s="18">
        <v>5</v>
      </c>
      <c r="V44" s="18">
        <v>1</v>
      </c>
      <c r="W44" s="18">
        <v>6</v>
      </c>
      <c r="X44" s="26"/>
      <c r="Y44" s="17" t="s">
        <v>426</v>
      </c>
      <c r="Z44" s="17" t="s">
        <v>796</v>
      </c>
    </row>
    <row r="45" spans="1:26" ht="12.75">
      <c r="A45" t="s">
        <v>1072</v>
      </c>
      <c r="B45">
        <v>50</v>
      </c>
      <c r="L45" s="18" t="s">
        <v>161</v>
      </c>
      <c r="M45" s="18">
        <v>0</v>
      </c>
      <c r="N45" s="18">
        <v>20</v>
      </c>
      <c r="O45" s="18">
        <v>6</v>
      </c>
      <c r="P45" s="18">
        <v>2</v>
      </c>
      <c r="Q45" s="18">
        <v>3</v>
      </c>
      <c r="R45" s="18">
        <v>3</v>
      </c>
      <c r="S45" s="18">
        <v>3</v>
      </c>
      <c r="T45" s="18">
        <v>1</v>
      </c>
      <c r="U45" s="18">
        <v>4</v>
      </c>
      <c r="V45" s="18">
        <v>1</v>
      </c>
      <c r="W45" s="18">
        <v>4</v>
      </c>
      <c r="X45" s="26"/>
      <c r="Y45" s="17" t="s">
        <v>427</v>
      </c>
      <c r="Z45" s="17" t="s">
        <v>797</v>
      </c>
    </row>
    <row r="46" spans="1:26" ht="12.75">
      <c r="A46" t="s">
        <v>564</v>
      </c>
      <c r="B46">
        <v>2</v>
      </c>
      <c r="L46" t="s">
        <v>142</v>
      </c>
      <c r="M46">
        <v>0</v>
      </c>
      <c r="N46">
        <v>20</v>
      </c>
      <c r="O46">
        <v>5</v>
      </c>
      <c r="P46">
        <v>3</v>
      </c>
      <c r="Q46">
        <v>3</v>
      </c>
      <c r="R46">
        <v>3</v>
      </c>
      <c r="S46">
        <v>3</v>
      </c>
      <c r="T46">
        <v>1</v>
      </c>
      <c r="U46">
        <v>4</v>
      </c>
      <c r="V46">
        <v>1</v>
      </c>
      <c r="W46">
        <v>5</v>
      </c>
      <c r="X46" s="27"/>
      <c r="Y46" s="17" t="s">
        <v>427</v>
      </c>
      <c r="Z46" s="17"/>
    </row>
    <row r="47" spans="1:26" ht="12.75">
      <c r="A47" t="s">
        <v>1236</v>
      </c>
      <c r="B47">
        <v>20</v>
      </c>
      <c r="L47" t="s">
        <v>143</v>
      </c>
      <c r="M47">
        <v>0</v>
      </c>
      <c r="N47">
        <v>15</v>
      </c>
      <c r="O47">
        <v>6</v>
      </c>
      <c r="P47">
        <v>2</v>
      </c>
      <c r="Q47">
        <v>0</v>
      </c>
      <c r="R47">
        <v>3</v>
      </c>
      <c r="S47">
        <v>3</v>
      </c>
      <c r="T47">
        <v>1</v>
      </c>
      <c r="U47">
        <v>4</v>
      </c>
      <c r="V47">
        <v>1</v>
      </c>
      <c r="W47">
        <v>4</v>
      </c>
      <c r="X47" s="27" t="s">
        <v>183</v>
      </c>
      <c r="Y47" s="17" t="s">
        <v>427</v>
      </c>
      <c r="Z47" s="17"/>
    </row>
    <row r="48" spans="1:26" ht="12.75">
      <c r="A48" t="s">
        <v>646</v>
      </c>
      <c r="B48">
        <v>50</v>
      </c>
      <c r="L48" t="s">
        <v>144</v>
      </c>
      <c r="M48">
        <v>0</v>
      </c>
      <c r="N48">
        <v>210</v>
      </c>
      <c r="O48">
        <v>6</v>
      </c>
      <c r="P48">
        <v>3</v>
      </c>
      <c r="Q48">
        <v>3</v>
      </c>
      <c r="R48">
        <v>5</v>
      </c>
      <c r="S48">
        <v>5</v>
      </c>
      <c r="T48">
        <v>3</v>
      </c>
      <c r="U48">
        <v>4</v>
      </c>
      <c r="V48">
        <v>3</v>
      </c>
      <c r="W48">
        <v>4</v>
      </c>
      <c r="X48" s="27" t="s">
        <v>178</v>
      </c>
      <c r="Y48" s="17" t="s">
        <v>430</v>
      </c>
      <c r="Z48" s="17"/>
    </row>
    <row r="49" spans="1:26" ht="12.75">
      <c r="A49" t="s">
        <v>540</v>
      </c>
      <c r="B49">
        <v>30</v>
      </c>
      <c r="X49" s="27"/>
      <c r="Y49" s="17"/>
      <c r="Z49" s="17"/>
    </row>
    <row r="50" spans="1:26" ht="12.75">
      <c r="A50" t="s">
        <v>415</v>
      </c>
      <c r="B50">
        <v>3</v>
      </c>
      <c r="L50" s="21" t="s">
        <v>145</v>
      </c>
      <c r="M50" s="21">
        <v>20</v>
      </c>
      <c r="N50" s="21">
        <v>110</v>
      </c>
      <c r="O50" s="21">
        <v>6</v>
      </c>
      <c r="P50" s="21">
        <v>4</v>
      </c>
      <c r="Q50" s="21">
        <v>4</v>
      </c>
      <c r="R50" s="21">
        <v>4</v>
      </c>
      <c r="S50" s="21">
        <v>4</v>
      </c>
      <c r="T50" s="21">
        <v>2</v>
      </c>
      <c r="U50" s="21">
        <v>5</v>
      </c>
      <c r="V50" s="21">
        <v>2</v>
      </c>
      <c r="W50" s="21">
        <v>8</v>
      </c>
      <c r="X50" s="25" t="s">
        <v>284</v>
      </c>
      <c r="Y50" s="17" t="s">
        <v>431</v>
      </c>
      <c r="Z50" t="s">
        <v>792</v>
      </c>
    </row>
    <row r="51" spans="1:26" ht="12.75">
      <c r="A51" t="s">
        <v>1039</v>
      </c>
      <c r="B51">
        <v>35</v>
      </c>
      <c r="E51" t="s">
        <v>747</v>
      </c>
      <c r="F51" t="s">
        <v>523</v>
      </c>
      <c r="L51" s="18" t="s">
        <v>146</v>
      </c>
      <c r="M51" s="18">
        <v>8</v>
      </c>
      <c r="N51" s="18">
        <v>35</v>
      </c>
      <c r="O51" s="18">
        <v>4</v>
      </c>
      <c r="P51" s="18">
        <v>3</v>
      </c>
      <c r="Q51" s="18">
        <v>3</v>
      </c>
      <c r="R51" s="18">
        <v>3</v>
      </c>
      <c r="S51" s="18">
        <v>3</v>
      </c>
      <c r="T51" s="18">
        <v>1</v>
      </c>
      <c r="U51" s="18">
        <v>3</v>
      </c>
      <c r="V51" s="18">
        <v>1</v>
      </c>
      <c r="W51" s="18">
        <v>7</v>
      </c>
      <c r="X51" s="26" t="s">
        <v>120</v>
      </c>
      <c r="Y51" s="17" t="s">
        <v>431</v>
      </c>
      <c r="Z51" s="17" t="s">
        <v>798</v>
      </c>
    </row>
    <row r="52" spans="1:26" ht="12.75">
      <c r="A52" t="s">
        <v>44</v>
      </c>
      <c r="B52">
        <v>25</v>
      </c>
      <c r="E52" s="44">
        <v>1</v>
      </c>
      <c r="F52" s="44">
        <v>1</v>
      </c>
      <c r="L52" s="18" t="s">
        <v>162</v>
      </c>
      <c r="M52" s="18">
        <v>0</v>
      </c>
      <c r="N52" s="18">
        <v>20</v>
      </c>
      <c r="O52" s="18">
        <v>4</v>
      </c>
      <c r="P52" s="18">
        <v>2</v>
      </c>
      <c r="Q52" s="18">
        <v>2</v>
      </c>
      <c r="R52" s="18">
        <v>3</v>
      </c>
      <c r="S52" s="18">
        <v>3</v>
      </c>
      <c r="T52" s="18">
        <v>1</v>
      </c>
      <c r="U52" s="18">
        <v>3</v>
      </c>
      <c r="V52" s="18">
        <v>1</v>
      </c>
      <c r="W52" s="18">
        <v>7</v>
      </c>
      <c r="X52" s="26"/>
      <c r="Y52" s="17" t="s">
        <v>431</v>
      </c>
      <c r="Z52" s="17" t="s">
        <v>580</v>
      </c>
    </row>
    <row r="53" spans="1:26" ht="12.75">
      <c r="A53" t="s">
        <v>45</v>
      </c>
      <c r="B53">
        <v>35</v>
      </c>
      <c r="D53" t="s">
        <v>234</v>
      </c>
      <c r="E53" s="44">
        <v>6</v>
      </c>
      <c r="F53" s="44">
        <v>2</v>
      </c>
      <c r="L53" t="s">
        <v>147</v>
      </c>
      <c r="M53">
        <v>0</v>
      </c>
      <c r="N53">
        <v>15</v>
      </c>
      <c r="O53">
        <v>4</v>
      </c>
      <c r="P53">
        <v>2</v>
      </c>
      <c r="Q53">
        <v>0</v>
      </c>
      <c r="R53">
        <v>3</v>
      </c>
      <c r="S53">
        <v>3</v>
      </c>
      <c r="T53">
        <v>1</v>
      </c>
      <c r="U53">
        <v>1</v>
      </c>
      <c r="V53">
        <v>1</v>
      </c>
      <c r="W53">
        <v>5</v>
      </c>
      <c r="X53" s="27" t="s">
        <v>285</v>
      </c>
      <c r="Y53" s="17" t="s">
        <v>430</v>
      </c>
      <c r="Z53" s="17"/>
    </row>
    <row r="54" spans="1:26" ht="12.75">
      <c r="A54" t="s">
        <v>568</v>
      </c>
      <c r="B54">
        <v>10</v>
      </c>
      <c r="E54" s="44">
        <v>12</v>
      </c>
      <c r="F54" s="44">
        <v>3</v>
      </c>
      <c r="L54" t="s">
        <v>148</v>
      </c>
      <c r="M54">
        <v>0</v>
      </c>
      <c r="N54">
        <v>40</v>
      </c>
      <c r="O54">
        <v>4</v>
      </c>
      <c r="P54">
        <v>2</v>
      </c>
      <c r="Q54">
        <v>2</v>
      </c>
      <c r="R54">
        <v>3</v>
      </c>
      <c r="S54">
        <v>4</v>
      </c>
      <c r="T54">
        <v>1</v>
      </c>
      <c r="U54">
        <v>3</v>
      </c>
      <c r="V54">
        <v>2</v>
      </c>
      <c r="W54">
        <v>5</v>
      </c>
      <c r="X54" s="27" t="s">
        <v>150</v>
      </c>
      <c r="Y54" s="17" t="s">
        <v>430</v>
      </c>
      <c r="Z54" s="17"/>
    </row>
    <row r="55" spans="1:26" ht="12.75">
      <c r="A55" t="s">
        <v>407</v>
      </c>
      <c r="B55">
        <v>0</v>
      </c>
      <c r="E55" s="44">
        <v>18</v>
      </c>
      <c r="F55" s="44">
        <v>4</v>
      </c>
      <c r="L55" t="s">
        <v>149</v>
      </c>
      <c r="M55">
        <v>0</v>
      </c>
      <c r="N55">
        <v>50</v>
      </c>
      <c r="O55">
        <v>9</v>
      </c>
      <c r="P55">
        <v>3</v>
      </c>
      <c r="Q55">
        <v>0</v>
      </c>
      <c r="R55">
        <v>4</v>
      </c>
      <c r="S55">
        <v>3</v>
      </c>
      <c r="T55">
        <v>1</v>
      </c>
      <c r="U55">
        <v>2</v>
      </c>
      <c r="V55">
        <v>1</v>
      </c>
      <c r="W55">
        <v>4</v>
      </c>
      <c r="X55" s="27" t="s">
        <v>286</v>
      </c>
      <c r="Y55" s="17" t="s">
        <v>430</v>
      </c>
      <c r="Z55" s="17"/>
    </row>
    <row r="56" spans="1:26" ht="12.75">
      <c r="A56" t="s">
        <v>974</v>
      </c>
      <c r="B56">
        <v>22</v>
      </c>
      <c r="D56" s="14" t="s">
        <v>525</v>
      </c>
      <c r="E56" s="44">
        <v>25</v>
      </c>
      <c r="F56" s="44">
        <v>5</v>
      </c>
      <c r="X56" s="27"/>
      <c r="Y56" s="17"/>
      <c r="Z56" s="17"/>
    </row>
    <row r="57" spans="1:26" ht="12.75">
      <c r="A57" t="s">
        <v>615</v>
      </c>
      <c r="B57">
        <v>30</v>
      </c>
      <c r="D57" t="s">
        <v>923</v>
      </c>
      <c r="E57" s="44">
        <v>31</v>
      </c>
      <c r="F57" s="44">
        <v>6</v>
      </c>
      <c r="L57" s="21" t="s">
        <v>151</v>
      </c>
      <c r="M57" s="21">
        <v>20</v>
      </c>
      <c r="N57" s="21">
        <v>60</v>
      </c>
      <c r="O57" s="21">
        <v>4</v>
      </c>
      <c r="P57" s="21">
        <v>4</v>
      </c>
      <c r="Q57" s="21">
        <v>4</v>
      </c>
      <c r="R57" s="21">
        <v>3</v>
      </c>
      <c r="S57" s="21">
        <v>3</v>
      </c>
      <c r="T57" s="21">
        <v>1</v>
      </c>
      <c r="U57" s="21">
        <v>4</v>
      </c>
      <c r="V57" s="21">
        <v>1</v>
      </c>
      <c r="W57" s="21">
        <v>8</v>
      </c>
      <c r="X57" s="25" t="s">
        <v>156</v>
      </c>
      <c r="Y57" s="17" t="s">
        <v>432</v>
      </c>
      <c r="Z57" t="s">
        <v>790</v>
      </c>
    </row>
    <row r="58" spans="1:26" ht="12.75">
      <c r="A58" t="s">
        <v>1040</v>
      </c>
      <c r="B58">
        <v>15</v>
      </c>
      <c r="D58" t="s">
        <v>924</v>
      </c>
      <c r="E58" s="44">
        <v>36</v>
      </c>
      <c r="F58" s="44">
        <v>7</v>
      </c>
      <c r="L58" s="18" t="s">
        <v>152</v>
      </c>
      <c r="M58" s="18">
        <v>12</v>
      </c>
      <c r="N58" s="18">
        <v>40</v>
      </c>
      <c r="O58" s="18">
        <v>4</v>
      </c>
      <c r="P58" s="18">
        <v>3</v>
      </c>
      <c r="Q58" s="18">
        <v>3</v>
      </c>
      <c r="R58" s="18">
        <v>3</v>
      </c>
      <c r="S58" s="18">
        <v>3</v>
      </c>
      <c r="T58" s="18">
        <v>1</v>
      </c>
      <c r="U58" s="18">
        <v>3</v>
      </c>
      <c r="V58" s="18">
        <v>1</v>
      </c>
      <c r="W58" s="18">
        <v>8</v>
      </c>
      <c r="X58" s="26" t="s">
        <v>158</v>
      </c>
      <c r="Y58" s="17" t="s">
        <v>432</v>
      </c>
      <c r="Z58" s="17" t="s">
        <v>800</v>
      </c>
    </row>
    <row r="59" spans="1:26" ht="12.75">
      <c r="A59" t="s">
        <v>414</v>
      </c>
      <c r="B59">
        <v>250</v>
      </c>
      <c r="L59" s="18" t="s">
        <v>163</v>
      </c>
      <c r="M59" s="18">
        <v>8</v>
      </c>
      <c r="N59" s="18">
        <v>25</v>
      </c>
      <c r="O59" s="18">
        <v>4</v>
      </c>
      <c r="P59" s="18">
        <v>3</v>
      </c>
      <c r="Q59" s="18">
        <v>3</v>
      </c>
      <c r="R59" s="18">
        <v>3</v>
      </c>
      <c r="S59" s="18">
        <v>3</v>
      </c>
      <c r="T59" s="18">
        <v>1</v>
      </c>
      <c r="U59" s="18">
        <v>3</v>
      </c>
      <c r="V59" s="18">
        <v>1</v>
      </c>
      <c r="W59" s="18">
        <v>7</v>
      </c>
      <c r="X59" s="26" t="s">
        <v>157</v>
      </c>
      <c r="Y59" s="17" t="s">
        <v>432</v>
      </c>
      <c r="Z59" s="17" t="s">
        <v>799</v>
      </c>
    </row>
    <row r="60" spans="1:26" ht="12.75">
      <c r="A60" t="s">
        <v>46</v>
      </c>
      <c r="B60">
        <v>30</v>
      </c>
      <c r="D60" s="38" t="s">
        <v>528</v>
      </c>
      <c r="E60" s="466" t="s">
        <v>529</v>
      </c>
      <c r="F60" s="467"/>
      <c r="G60" s="467"/>
      <c r="H60" s="467"/>
      <c r="I60" s="467"/>
      <c r="J60" s="468"/>
      <c r="L60" t="s">
        <v>153</v>
      </c>
      <c r="M60">
        <v>0</v>
      </c>
      <c r="N60">
        <v>20</v>
      </c>
      <c r="O60">
        <v>4</v>
      </c>
      <c r="P60">
        <v>2</v>
      </c>
      <c r="Q60">
        <v>2</v>
      </c>
      <c r="R60">
        <v>3</v>
      </c>
      <c r="S60">
        <v>3</v>
      </c>
      <c r="T60">
        <v>1</v>
      </c>
      <c r="U60">
        <v>3</v>
      </c>
      <c r="V60">
        <v>1</v>
      </c>
      <c r="W60">
        <v>7</v>
      </c>
      <c r="X60" s="27"/>
      <c r="Y60" s="17" t="s">
        <v>433</v>
      </c>
      <c r="Z60" s="17"/>
    </row>
    <row r="61" spans="1:26" ht="12.75">
      <c r="A61" t="s">
        <v>47</v>
      </c>
      <c r="B61">
        <v>60</v>
      </c>
      <c r="D61" s="38" t="s">
        <v>530</v>
      </c>
      <c r="E61" s="35">
        <v>1</v>
      </c>
      <c r="F61" s="35">
        <v>4</v>
      </c>
      <c r="G61" s="35">
        <v>7</v>
      </c>
      <c r="H61" s="35">
        <v>10</v>
      </c>
      <c r="I61" s="35">
        <v>13</v>
      </c>
      <c r="J61" s="35">
        <v>16</v>
      </c>
      <c r="K61" s="20"/>
      <c r="L61" t="s">
        <v>154</v>
      </c>
      <c r="M61">
        <v>0</v>
      </c>
      <c r="N61">
        <v>40</v>
      </c>
      <c r="O61">
        <v>4</v>
      </c>
      <c r="P61">
        <v>3</v>
      </c>
      <c r="Q61">
        <v>3</v>
      </c>
      <c r="R61">
        <v>4</v>
      </c>
      <c r="S61">
        <v>4</v>
      </c>
      <c r="T61">
        <v>1</v>
      </c>
      <c r="U61">
        <v>3</v>
      </c>
      <c r="V61">
        <v>1</v>
      </c>
      <c r="W61">
        <v>10</v>
      </c>
      <c r="X61" s="27" t="s">
        <v>159</v>
      </c>
      <c r="Y61" s="17" t="s">
        <v>434</v>
      </c>
      <c r="Z61" s="17"/>
    </row>
    <row r="62" spans="1:26" ht="12.75">
      <c r="A62" t="s">
        <v>411</v>
      </c>
      <c r="B62">
        <v>15</v>
      </c>
      <c r="D62" s="35">
        <v>1</v>
      </c>
      <c r="E62" s="35">
        <v>45</v>
      </c>
      <c r="F62" s="35">
        <v>40</v>
      </c>
      <c r="G62" s="35">
        <v>35</v>
      </c>
      <c r="H62" s="35">
        <v>30</v>
      </c>
      <c r="I62" s="35">
        <v>30</v>
      </c>
      <c r="J62" s="35">
        <v>25</v>
      </c>
      <c r="K62" s="20"/>
      <c r="L62" t="s">
        <v>155</v>
      </c>
      <c r="M62">
        <v>0</v>
      </c>
      <c r="N62">
        <v>15</v>
      </c>
      <c r="O62">
        <v>6</v>
      </c>
      <c r="P62">
        <v>4</v>
      </c>
      <c r="Q62">
        <v>0</v>
      </c>
      <c r="R62">
        <v>4</v>
      </c>
      <c r="S62">
        <v>3</v>
      </c>
      <c r="T62">
        <v>1</v>
      </c>
      <c r="U62">
        <v>4</v>
      </c>
      <c r="V62">
        <v>1</v>
      </c>
      <c r="W62">
        <v>5</v>
      </c>
      <c r="X62" s="27" t="s">
        <v>160</v>
      </c>
      <c r="Y62" s="17" t="s">
        <v>430</v>
      </c>
      <c r="Z62" s="17"/>
    </row>
    <row r="63" spans="1:26" ht="12.75">
      <c r="A63" t="s">
        <v>48</v>
      </c>
      <c r="B63">
        <v>30</v>
      </c>
      <c r="D63" s="35">
        <v>2</v>
      </c>
      <c r="E63" s="35">
        <v>60</v>
      </c>
      <c r="F63" s="35">
        <v>55</v>
      </c>
      <c r="G63" s="35">
        <v>50</v>
      </c>
      <c r="H63" s="35">
        <v>45</v>
      </c>
      <c r="I63" s="35">
        <v>40</v>
      </c>
      <c r="J63" s="35">
        <v>35</v>
      </c>
      <c r="K63" s="20"/>
      <c r="X63" s="28"/>
      <c r="Y63" s="17"/>
      <c r="Z63" s="17"/>
    </row>
    <row r="64" spans="1:26" ht="12.75">
      <c r="A64" t="s">
        <v>49</v>
      </c>
      <c r="B64">
        <v>60</v>
      </c>
      <c r="D64" s="35">
        <v>3</v>
      </c>
      <c r="E64" s="35">
        <v>75</v>
      </c>
      <c r="F64" s="35">
        <v>70</v>
      </c>
      <c r="G64" s="35">
        <v>65</v>
      </c>
      <c r="H64" s="35">
        <v>60</v>
      </c>
      <c r="I64" s="35">
        <v>55</v>
      </c>
      <c r="J64" s="35">
        <v>50</v>
      </c>
      <c r="K64" s="20"/>
      <c r="L64" s="21" t="s">
        <v>204</v>
      </c>
      <c r="M64" s="21">
        <v>20</v>
      </c>
      <c r="N64" s="21">
        <v>60</v>
      </c>
      <c r="O64" s="21">
        <v>4</v>
      </c>
      <c r="P64" s="21">
        <v>4</v>
      </c>
      <c r="Q64" s="21">
        <v>4</v>
      </c>
      <c r="R64" s="21">
        <v>3</v>
      </c>
      <c r="S64" s="22">
        <v>3</v>
      </c>
      <c r="T64" s="22">
        <v>1</v>
      </c>
      <c r="U64" s="22">
        <v>4</v>
      </c>
      <c r="V64" s="22">
        <v>1</v>
      </c>
      <c r="W64" s="22">
        <v>8</v>
      </c>
      <c r="X64" s="29" t="s">
        <v>119</v>
      </c>
      <c r="Y64" s="32" t="s">
        <v>439</v>
      </c>
      <c r="Z64" t="s">
        <v>790</v>
      </c>
    </row>
    <row r="65" spans="1:26" ht="12.75">
      <c r="A65" t="s">
        <v>50</v>
      </c>
      <c r="B65">
        <v>15</v>
      </c>
      <c r="D65" s="35">
        <v>4</v>
      </c>
      <c r="E65" s="35">
        <v>90</v>
      </c>
      <c r="F65" s="35">
        <v>80</v>
      </c>
      <c r="G65" s="35">
        <v>70</v>
      </c>
      <c r="H65" s="35">
        <v>65</v>
      </c>
      <c r="I65" s="35">
        <v>60</v>
      </c>
      <c r="J65" s="35">
        <v>55</v>
      </c>
      <c r="L65" s="18" t="s">
        <v>198</v>
      </c>
      <c r="M65" s="18">
        <v>8</v>
      </c>
      <c r="N65" s="18">
        <v>35</v>
      </c>
      <c r="O65" s="18">
        <v>4</v>
      </c>
      <c r="P65" s="18">
        <v>4</v>
      </c>
      <c r="Q65" s="18">
        <v>3</v>
      </c>
      <c r="R65" s="18">
        <v>3</v>
      </c>
      <c r="S65" s="19">
        <v>3</v>
      </c>
      <c r="T65" s="19">
        <v>1</v>
      </c>
      <c r="U65" s="19">
        <v>3</v>
      </c>
      <c r="V65" s="19">
        <v>1</v>
      </c>
      <c r="W65" s="19">
        <v>7</v>
      </c>
      <c r="X65" s="30"/>
      <c r="Y65" s="32" t="s">
        <v>439</v>
      </c>
      <c r="Z65" s="32" t="s">
        <v>801</v>
      </c>
    </row>
    <row r="66" spans="1:26" ht="12.75">
      <c r="A66" t="s">
        <v>663</v>
      </c>
      <c r="B66">
        <v>35</v>
      </c>
      <c r="D66" s="35">
        <v>5</v>
      </c>
      <c r="E66" s="35">
        <v>110</v>
      </c>
      <c r="F66" s="35">
        <v>100</v>
      </c>
      <c r="G66" s="35">
        <v>90</v>
      </c>
      <c r="H66" s="35">
        <v>80</v>
      </c>
      <c r="I66" s="35">
        <v>70</v>
      </c>
      <c r="J66" s="35">
        <v>65</v>
      </c>
      <c r="L66" s="18" t="s">
        <v>199</v>
      </c>
      <c r="M66" s="18">
        <v>4</v>
      </c>
      <c r="N66" s="18">
        <v>35</v>
      </c>
      <c r="O66" s="18">
        <v>4</v>
      </c>
      <c r="P66" s="18">
        <v>2</v>
      </c>
      <c r="Q66" s="18">
        <v>4</v>
      </c>
      <c r="R66" s="18">
        <v>3</v>
      </c>
      <c r="S66" s="19">
        <v>3</v>
      </c>
      <c r="T66" s="19">
        <v>1</v>
      </c>
      <c r="U66" s="19">
        <v>3</v>
      </c>
      <c r="V66" s="19">
        <v>1</v>
      </c>
      <c r="W66" s="19">
        <v>7</v>
      </c>
      <c r="X66" s="30" t="s">
        <v>200</v>
      </c>
      <c r="Y66" s="32" t="s">
        <v>437</v>
      </c>
      <c r="Z66" s="32" t="s">
        <v>802</v>
      </c>
    </row>
    <row r="67" spans="1:26" ht="12.75">
      <c r="A67" t="s">
        <v>666</v>
      </c>
      <c r="B67">
        <v>100</v>
      </c>
      <c r="D67" s="35">
        <v>6</v>
      </c>
      <c r="E67" s="35">
        <v>120</v>
      </c>
      <c r="F67" s="35">
        <v>110</v>
      </c>
      <c r="G67" s="35">
        <v>100</v>
      </c>
      <c r="H67" s="35">
        <v>90</v>
      </c>
      <c r="I67" s="35">
        <v>80</v>
      </c>
      <c r="J67" s="35">
        <v>70</v>
      </c>
      <c r="L67" s="18" t="s">
        <v>274</v>
      </c>
      <c r="M67" s="18">
        <v>0</v>
      </c>
      <c r="N67" s="18">
        <v>15</v>
      </c>
      <c r="O67" s="18">
        <v>4</v>
      </c>
      <c r="P67" s="18">
        <v>2</v>
      </c>
      <c r="Q67" s="18">
        <v>2</v>
      </c>
      <c r="R67" s="18">
        <v>3</v>
      </c>
      <c r="S67" s="19">
        <v>3</v>
      </c>
      <c r="T67" s="19">
        <v>1</v>
      </c>
      <c r="U67" s="19">
        <v>3</v>
      </c>
      <c r="V67" s="19">
        <v>1</v>
      </c>
      <c r="W67" s="19">
        <v>6</v>
      </c>
      <c r="X67" s="30"/>
      <c r="Y67" s="32" t="s">
        <v>439</v>
      </c>
      <c r="Z67" s="32" t="s">
        <v>791</v>
      </c>
    </row>
    <row r="68" spans="1:26" ht="12.75">
      <c r="A68" t="s">
        <v>1041</v>
      </c>
      <c r="B68">
        <v>75</v>
      </c>
      <c r="D68" s="35">
        <v>7</v>
      </c>
      <c r="E68" s="35">
        <v>145</v>
      </c>
      <c r="F68" s="35">
        <v>130</v>
      </c>
      <c r="G68" s="35">
        <v>120</v>
      </c>
      <c r="H68" s="35">
        <v>110</v>
      </c>
      <c r="I68" s="35">
        <v>100</v>
      </c>
      <c r="J68" s="35">
        <v>90</v>
      </c>
      <c r="L68" t="s">
        <v>201</v>
      </c>
      <c r="M68" s="20">
        <v>0</v>
      </c>
      <c r="N68">
        <v>30</v>
      </c>
      <c r="O68">
        <v>4</v>
      </c>
      <c r="P68">
        <v>4</v>
      </c>
      <c r="Q68">
        <v>3</v>
      </c>
      <c r="R68">
        <v>3</v>
      </c>
      <c r="S68" s="17">
        <v>3</v>
      </c>
      <c r="T68" s="17">
        <v>1</v>
      </c>
      <c r="U68" s="17">
        <v>3</v>
      </c>
      <c r="V68" s="17">
        <v>1</v>
      </c>
      <c r="W68" s="17">
        <v>7</v>
      </c>
      <c r="X68" s="28"/>
      <c r="Y68" s="32" t="s">
        <v>439</v>
      </c>
      <c r="Z68" s="32"/>
    </row>
    <row r="69" spans="1:26" ht="12.75">
      <c r="A69" t="s">
        <v>668</v>
      </c>
      <c r="B69">
        <v>50</v>
      </c>
      <c r="D69" s="35">
        <v>8</v>
      </c>
      <c r="E69" s="35">
        <v>155</v>
      </c>
      <c r="F69" s="35">
        <v>140</v>
      </c>
      <c r="G69" s="35">
        <v>130</v>
      </c>
      <c r="H69" s="35">
        <v>120</v>
      </c>
      <c r="I69" s="35">
        <v>110</v>
      </c>
      <c r="J69" s="35">
        <v>100</v>
      </c>
      <c r="L69" t="s">
        <v>275</v>
      </c>
      <c r="M69" s="20">
        <v>0</v>
      </c>
      <c r="N69">
        <v>25</v>
      </c>
      <c r="O69">
        <v>4</v>
      </c>
      <c r="P69">
        <v>3</v>
      </c>
      <c r="Q69">
        <v>3</v>
      </c>
      <c r="R69">
        <v>3</v>
      </c>
      <c r="S69" s="17">
        <v>3</v>
      </c>
      <c r="T69" s="17">
        <v>1</v>
      </c>
      <c r="U69" s="17">
        <v>3</v>
      </c>
      <c r="V69" s="17">
        <v>1</v>
      </c>
      <c r="W69" s="17">
        <v>7</v>
      </c>
      <c r="X69" s="28"/>
      <c r="Y69" s="32" t="s">
        <v>436</v>
      </c>
      <c r="Z69" s="32"/>
    </row>
    <row r="70" spans="1:26" ht="12.75">
      <c r="A70" t="s">
        <v>667</v>
      </c>
      <c r="B70">
        <v>50</v>
      </c>
      <c r="D70" s="39" t="s">
        <v>529</v>
      </c>
      <c r="E70" s="39" t="s">
        <v>531</v>
      </c>
      <c r="F70" s="36"/>
      <c r="G70" s="36"/>
      <c r="H70" s="36"/>
      <c r="I70" s="37"/>
      <c r="L70" t="s">
        <v>202</v>
      </c>
      <c r="M70" s="20">
        <v>0</v>
      </c>
      <c r="N70">
        <v>20</v>
      </c>
      <c r="O70">
        <v>4</v>
      </c>
      <c r="P70">
        <v>2</v>
      </c>
      <c r="Q70">
        <v>4</v>
      </c>
      <c r="R70">
        <v>2</v>
      </c>
      <c r="S70" s="17">
        <v>2</v>
      </c>
      <c r="T70" s="17">
        <v>1</v>
      </c>
      <c r="U70" s="17">
        <v>4</v>
      </c>
      <c r="V70" s="17">
        <v>1</v>
      </c>
      <c r="W70" s="17">
        <v>8</v>
      </c>
      <c r="X70" s="28" t="s">
        <v>203</v>
      </c>
      <c r="Y70" s="32" t="s">
        <v>435</v>
      </c>
      <c r="Z70" s="32"/>
    </row>
    <row r="71" spans="1:24" ht="12.75">
      <c r="A71" t="s">
        <v>1232</v>
      </c>
      <c r="B71">
        <v>75</v>
      </c>
      <c r="D71" s="35">
        <v>1</v>
      </c>
      <c r="E71" s="35">
        <v>2</v>
      </c>
      <c r="X71" s="28"/>
    </row>
    <row r="72" spans="1:26" ht="12.75">
      <c r="A72" t="s">
        <v>1234</v>
      </c>
      <c r="B72">
        <v>40</v>
      </c>
      <c r="D72" s="35">
        <v>4</v>
      </c>
      <c r="E72" s="35">
        <v>3</v>
      </c>
      <c r="L72" s="21" t="s">
        <v>214</v>
      </c>
      <c r="M72" s="21">
        <v>20</v>
      </c>
      <c r="N72" s="21">
        <v>65</v>
      </c>
      <c r="O72" s="18">
        <v>5</v>
      </c>
      <c r="P72" s="21">
        <v>4</v>
      </c>
      <c r="Q72" s="21">
        <v>3</v>
      </c>
      <c r="R72" s="21">
        <v>4</v>
      </c>
      <c r="S72" s="21">
        <v>4</v>
      </c>
      <c r="T72" s="21">
        <v>1</v>
      </c>
      <c r="U72" s="21">
        <v>4</v>
      </c>
      <c r="V72" s="21">
        <v>1</v>
      </c>
      <c r="W72" s="21">
        <v>7</v>
      </c>
      <c r="X72" s="29" t="s">
        <v>119</v>
      </c>
      <c r="Y72" t="s">
        <v>440</v>
      </c>
      <c r="Z72" t="s">
        <v>803</v>
      </c>
    </row>
    <row r="73" spans="1:26" ht="12.75">
      <c r="A73" t="s">
        <v>1231</v>
      </c>
      <c r="B73">
        <v>30</v>
      </c>
      <c r="D73" s="35">
        <v>7</v>
      </c>
      <c r="E73" s="35">
        <v>4</v>
      </c>
      <c r="L73" s="18" t="s">
        <v>215</v>
      </c>
      <c r="M73" s="18">
        <v>11</v>
      </c>
      <c r="N73" s="18">
        <v>45</v>
      </c>
      <c r="O73" s="18">
        <v>5</v>
      </c>
      <c r="P73" s="18">
        <v>4</v>
      </c>
      <c r="Q73" s="18">
        <v>3</v>
      </c>
      <c r="R73" s="18">
        <v>3</v>
      </c>
      <c r="S73" s="18">
        <v>4</v>
      </c>
      <c r="T73" s="18">
        <v>1</v>
      </c>
      <c r="U73" s="18">
        <v>3</v>
      </c>
      <c r="V73" s="18">
        <v>1</v>
      </c>
      <c r="W73" s="18">
        <v>6</v>
      </c>
      <c r="X73" s="30" t="s">
        <v>120</v>
      </c>
      <c r="Y73" t="s">
        <v>443</v>
      </c>
      <c r="Z73" t="s">
        <v>804</v>
      </c>
    </row>
    <row r="74" spans="1:26" ht="12.75">
      <c r="A74" t="s">
        <v>645</v>
      </c>
      <c r="B74">
        <v>45</v>
      </c>
      <c r="D74" s="35">
        <v>10</v>
      </c>
      <c r="E74" s="35">
        <v>5</v>
      </c>
      <c r="L74" s="18" t="s">
        <v>216</v>
      </c>
      <c r="M74" s="18">
        <v>8</v>
      </c>
      <c r="N74" s="18">
        <v>45</v>
      </c>
      <c r="O74" s="18">
        <v>5</v>
      </c>
      <c r="P74" s="18">
        <v>4</v>
      </c>
      <c r="Q74" s="18">
        <v>3</v>
      </c>
      <c r="R74" s="18">
        <v>4</v>
      </c>
      <c r="S74" s="18">
        <v>4</v>
      </c>
      <c r="T74" s="18">
        <v>1</v>
      </c>
      <c r="U74" s="18">
        <v>3</v>
      </c>
      <c r="V74" s="18">
        <v>1</v>
      </c>
      <c r="W74" s="18">
        <v>7</v>
      </c>
      <c r="X74" s="30"/>
      <c r="Y74" t="s">
        <v>440</v>
      </c>
      <c r="Z74" t="s">
        <v>713</v>
      </c>
    </row>
    <row r="75" spans="1:26" ht="12.75">
      <c r="A75" t="s">
        <v>515</v>
      </c>
      <c r="B75">
        <v>12</v>
      </c>
      <c r="D75" s="35">
        <v>13</v>
      </c>
      <c r="E75" s="35">
        <v>6</v>
      </c>
      <c r="L75" s="18" t="s">
        <v>217</v>
      </c>
      <c r="M75" s="18">
        <v>8</v>
      </c>
      <c r="N75" s="18">
        <v>80</v>
      </c>
      <c r="O75" s="18">
        <v>8</v>
      </c>
      <c r="P75" s="18">
        <v>4</v>
      </c>
      <c r="Q75" s="18">
        <v>3</v>
      </c>
      <c r="R75" s="18">
        <v>4</v>
      </c>
      <c r="S75" s="18">
        <v>4</v>
      </c>
      <c r="T75" s="18">
        <v>1</v>
      </c>
      <c r="U75" s="18">
        <v>2</v>
      </c>
      <c r="V75" s="18" t="s">
        <v>222</v>
      </c>
      <c r="W75" s="18">
        <v>7</v>
      </c>
      <c r="X75" s="30" t="s">
        <v>223</v>
      </c>
      <c r="Y75" t="s">
        <v>441</v>
      </c>
      <c r="Z75" s="20" t="s">
        <v>713</v>
      </c>
    </row>
    <row r="76" spans="1:25" ht="12.75">
      <c r="A76" t="s">
        <v>1042</v>
      </c>
      <c r="B76">
        <v>20</v>
      </c>
      <c r="D76" s="35">
        <v>16</v>
      </c>
      <c r="E76" s="35">
        <v>7</v>
      </c>
      <c r="L76" s="20" t="s">
        <v>218</v>
      </c>
      <c r="M76" s="20">
        <v>0</v>
      </c>
      <c r="N76" s="20">
        <v>35</v>
      </c>
      <c r="O76" s="20">
        <v>5</v>
      </c>
      <c r="P76" s="20">
        <v>4</v>
      </c>
      <c r="Q76" s="20">
        <v>3</v>
      </c>
      <c r="R76" s="20">
        <v>3</v>
      </c>
      <c r="S76" s="20">
        <v>4</v>
      </c>
      <c r="T76" s="20">
        <v>1</v>
      </c>
      <c r="U76" s="20">
        <v>3</v>
      </c>
      <c r="V76" s="20">
        <v>1</v>
      </c>
      <c r="W76" s="20">
        <v>6</v>
      </c>
      <c r="X76" s="31"/>
      <c r="Y76" t="s">
        <v>440</v>
      </c>
    </row>
    <row r="77" spans="1:25" ht="12.75">
      <c r="A77" t="s">
        <v>51</v>
      </c>
      <c r="B77">
        <v>35</v>
      </c>
      <c r="L77" s="20" t="s">
        <v>219</v>
      </c>
      <c r="M77" s="20">
        <v>0</v>
      </c>
      <c r="N77" s="20">
        <v>25</v>
      </c>
      <c r="O77" s="20">
        <v>5</v>
      </c>
      <c r="P77" s="20">
        <v>3</v>
      </c>
      <c r="Q77" s="20">
        <v>3</v>
      </c>
      <c r="R77" s="20">
        <v>3</v>
      </c>
      <c r="S77" s="20">
        <v>3</v>
      </c>
      <c r="T77" s="20">
        <v>1</v>
      </c>
      <c r="U77" s="20">
        <v>3</v>
      </c>
      <c r="V77" s="20">
        <v>1</v>
      </c>
      <c r="W77" s="20">
        <v>6</v>
      </c>
      <c r="X77" s="31" t="s">
        <v>224</v>
      </c>
      <c r="Y77" t="s">
        <v>441</v>
      </c>
    </row>
    <row r="78" spans="1:25" ht="12.75">
      <c r="A78" t="s">
        <v>1043</v>
      </c>
      <c r="B78">
        <v>30</v>
      </c>
      <c r="L78" s="20" t="s">
        <v>220</v>
      </c>
      <c r="M78" s="20">
        <v>0</v>
      </c>
      <c r="N78" s="20">
        <v>200</v>
      </c>
      <c r="O78" s="20">
        <v>6</v>
      </c>
      <c r="P78" s="20">
        <v>4</v>
      </c>
      <c r="Q78" s="20">
        <v>3</v>
      </c>
      <c r="R78" s="20">
        <v>4</v>
      </c>
      <c r="S78" s="20">
        <v>4</v>
      </c>
      <c r="T78" s="20">
        <v>3</v>
      </c>
      <c r="U78" s="20">
        <v>4</v>
      </c>
      <c r="V78" s="20">
        <v>3</v>
      </c>
      <c r="W78" s="20">
        <v>8</v>
      </c>
      <c r="X78" s="31" t="s">
        <v>225</v>
      </c>
      <c r="Y78" t="s">
        <v>440</v>
      </c>
    </row>
    <row r="79" spans="1:25" ht="12.75">
      <c r="A79" t="s">
        <v>1044</v>
      </c>
      <c r="B79">
        <v>35</v>
      </c>
      <c r="E79" s="41"/>
      <c r="L79" s="20" t="s">
        <v>221</v>
      </c>
      <c r="M79" s="20">
        <v>0</v>
      </c>
      <c r="N79" s="20">
        <v>15</v>
      </c>
      <c r="O79" s="20">
        <v>7</v>
      </c>
      <c r="P79" s="20">
        <v>4</v>
      </c>
      <c r="Q79" s="20">
        <v>0</v>
      </c>
      <c r="R79" s="20">
        <v>4</v>
      </c>
      <c r="S79" s="20">
        <v>3</v>
      </c>
      <c r="T79" s="20">
        <v>1</v>
      </c>
      <c r="U79" s="20">
        <v>3</v>
      </c>
      <c r="V79" s="20">
        <v>1</v>
      </c>
      <c r="W79" s="20">
        <v>5</v>
      </c>
      <c r="X79" s="31" t="s">
        <v>160</v>
      </c>
      <c r="Y79" t="s">
        <v>430</v>
      </c>
    </row>
    <row r="80" spans="1:24" ht="12.75">
      <c r="A80" t="s">
        <v>52</v>
      </c>
      <c r="B80">
        <v>0</v>
      </c>
      <c r="X80" s="28"/>
    </row>
    <row r="81" spans="1:26" ht="12.75">
      <c r="A81" t="s">
        <v>1237</v>
      </c>
      <c r="B81">
        <v>10</v>
      </c>
      <c r="L81" s="21" t="s">
        <v>276</v>
      </c>
      <c r="M81" s="21">
        <v>20</v>
      </c>
      <c r="N81" s="21">
        <v>70</v>
      </c>
      <c r="O81" s="21">
        <v>4</v>
      </c>
      <c r="P81" s="21">
        <v>4</v>
      </c>
      <c r="Q81" s="21">
        <v>4</v>
      </c>
      <c r="R81" s="21">
        <v>3</v>
      </c>
      <c r="S81" s="21">
        <v>3</v>
      </c>
      <c r="T81" s="21">
        <v>1</v>
      </c>
      <c r="U81" s="21">
        <v>3</v>
      </c>
      <c r="V81" s="21">
        <v>1</v>
      </c>
      <c r="W81" s="21">
        <v>8</v>
      </c>
      <c r="X81" s="29" t="s">
        <v>181</v>
      </c>
      <c r="Y81" t="s">
        <v>446</v>
      </c>
      <c r="Z81" t="s">
        <v>790</v>
      </c>
    </row>
    <row r="82" spans="1:26" ht="12.75">
      <c r="A82" t="s">
        <v>53</v>
      </c>
      <c r="B82">
        <v>15</v>
      </c>
      <c r="L82" s="18" t="s">
        <v>277</v>
      </c>
      <c r="M82" s="18">
        <v>8</v>
      </c>
      <c r="N82" s="18">
        <v>60</v>
      </c>
      <c r="O82" s="18">
        <v>4</v>
      </c>
      <c r="P82" s="18">
        <v>4</v>
      </c>
      <c r="Q82" s="18">
        <v>0</v>
      </c>
      <c r="R82" s="18">
        <v>4</v>
      </c>
      <c r="S82" s="18">
        <v>4</v>
      </c>
      <c r="T82" s="18">
        <v>1</v>
      </c>
      <c r="U82" s="18">
        <v>2</v>
      </c>
      <c r="V82" s="18">
        <v>2</v>
      </c>
      <c r="W82" s="18">
        <v>7</v>
      </c>
      <c r="X82" s="30" t="s">
        <v>282</v>
      </c>
      <c r="Y82" t="s">
        <v>447</v>
      </c>
      <c r="Z82" t="s">
        <v>801</v>
      </c>
    </row>
    <row r="83" spans="1:26" ht="12.75">
      <c r="A83" t="s">
        <v>1361</v>
      </c>
      <c r="B83">
        <v>35</v>
      </c>
      <c r="D83" s="14" t="s">
        <v>617</v>
      </c>
      <c r="L83" s="18" t="s">
        <v>278</v>
      </c>
      <c r="M83" s="18">
        <v>0</v>
      </c>
      <c r="N83" s="18">
        <v>25</v>
      </c>
      <c r="O83" s="18">
        <v>4</v>
      </c>
      <c r="P83" s="18">
        <v>3</v>
      </c>
      <c r="Q83" s="18">
        <v>3</v>
      </c>
      <c r="R83" s="18">
        <v>3</v>
      </c>
      <c r="S83" s="18">
        <v>3</v>
      </c>
      <c r="T83" s="18">
        <v>1</v>
      </c>
      <c r="U83" s="18">
        <v>3</v>
      </c>
      <c r="V83" s="18">
        <v>1</v>
      </c>
      <c r="W83" s="18">
        <v>7</v>
      </c>
      <c r="X83" s="30" t="s">
        <v>283</v>
      </c>
      <c r="Y83" t="s">
        <v>446</v>
      </c>
      <c r="Z83" t="s">
        <v>805</v>
      </c>
    </row>
    <row r="84" spans="1:24" ht="12.75">
      <c r="A84" t="s">
        <v>1045</v>
      </c>
      <c r="B84">
        <v>25</v>
      </c>
      <c r="D84" t="s">
        <v>85</v>
      </c>
      <c r="E84" t="s">
        <v>620</v>
      </c>
      <c r="L84" t="s">
        <v>279</v>
      </c>
      <c r="M84">
        <v>0</v>
      </c>
      <c r="N84">
        <v>50</v>
      </c>
      <c r="O84">
        <v>4</v>
      </c>
      <c r="P84">
        <v>4</v>
      </c>
      <c r="Q84">
        <v>3</v>
      </c>
      <c r="R84">
        <v>4</v>
      </c>
      <c r="S84">
        <v>4</v>
      </c>
      <c r="T84">
        <v>1</v>
      </c>
      <c r="U84">
        <v>4</v>
      </c>
      <c r="V84">
        <v>2</v>
      </c>
      <c r="W84">
        <v>10</v>
      </c>
      <c r="X84" s="28" t="s">
        <v>287</v>
      </c>
    </row>
    <row r="85" spans="1:25" ht="12.75">
      <c r="A85" t="s">
        <v>54</v>
      </c>
      <c r="B85">
        <v>50</v>
      </c>
      <c r="D85" t="s">
        <v>69</v>
      </c>
      <c r="E85" t="s">
        <v>620</v>
      </c>
      <c r="K85" s="20"/>
      <c r="L85" t="s">
        <v>280</v>
      </c>
      <c r="M85">
        <v>0</v>
      </c>
      <c r="N85">
        <v>25</v>
      </c>
      <c r="O85">
        <v>4</v>
      </c>
      <c r="P85">
        <v>3</v>
      </c>
      <c r="Q85">
        <v>3</v>
      </c>
      <c r="R85">
        <v>3</v>
      </c>
      <c r="S85">
        <v>3</v>
      </c>
      <c r="T85">
        <v>1</v>
      </c>
      <c r="U85">
        <v>3</v>
      </c>
      <c r="V85">
        <v>1</v>
      </c>
      <c r="W85">
        <v>7</v>
      </c>
      <c r="X85" s="28"/>
      <c r="Y85" t="s">
        <v>430</v>
      </c>
    </row>
    <row r="86" spans="1:25" ht="12.75">
      <c r="A86" t="s">
        <v>55</v>
      </c>
      <c r="B86">
        <v>1</v>
      </c>
      <c r="D86" t="s">
        <v>595</v>
      </c>
      <c r="E86" t="s">
        <v>621</v>
      </c>
      <c r="K86" s="20"/>
      <c r="L86" t="s">
        <v>281</v>
      </c>
      <c r="M86">
        <v>0</v>
      </c>
      <c r="N86">
        <v>15</v>
      </c>
      <c r="O86">
        <v>4</v>
      </c>
      <c r="P86">
        <v>3</v>
      </c>
      <c r="Q86">
        <v>0</v>
      </c>
      <c r="R86">
        <v>3</v>
      </c>
      <c r="S86">
        <v>2</v>
      </c>
      <c r="T86">
        <v>1</v>
      </c>
      <c r="U86">
        <v>3</v>
      </c>
      <c r="V86">
        <v>1</v>
      </c>
      <c r="W86">
        <v>10</v>
      </c>
      <c r="X86" s="28" t="s">
        <v>288</v>
      </c>
      <c r="Y86" t="s">
        <v>446</v>
      </c>
    </row>
    <row r="87" spans="1:25" ht="12.75">
      <c r="A87" t="s">
        <v>565</v>
      </c>
      <c r="B87">
        <v>2</v>
      </c>
      <c r="D87" t="s">
        <v>60</v>
      </c>
      <c r="E87" t="s">
        <v>621</v>
      </c>
      <c r="K87" s="20"/>
      <c r="L87" t="s">
        <v>448</v>
      </c>
      <c r="M87">
        <v>0</v>
      </c>
      <c r="N87">
        <v>120</v>
      </c>
      <c r="O87" t="s">
        <v>449</v>
      </c>
      <c r="P87" t="s">
        <v>449</v>
      </c>
      <c r="Q87" t="s">
        <v>449</v>
      </c>
      <c r="R87" t="s">
        <v>449</v>
      </c>
      <c r="S87" t="s">
        <v>449</v>
      </c>
      <c r="T87" t="s">
        <v>449</v>
      </c>
      <c r="U87" t="s">
        <v>449</v>
      </c>
      <c r="V87" t="s">
        <v>449</v>
      </c>
      <c r="W87" t="s">
        <v>449</v>
      </c>
      <c r="X87" s="28" t="s">
        <v>450</v>
      </c>
      <c r="Y87" t="s">
        <v>430</v>
      </c>
    </row>
    <row r="88" spans="1:24" ht="12.75">
      <c r="A88" t="s">
        <v>1153</v>
      </c>
      <c r="B88">
        <v>25</v>
      </c>
      <c r="D88" t="s">
        <v>596</v>
      </c>
      <c r="E88" t="s">
        <v>622</v>
      </c>
      <c r="K88" s="20"/>
      <c r="X88" s="28"/>
    </row>
    <row r="89" spans="1:26" ht="12.75">
      <c r="A89" t="s">
        <v>453</v>
      </c>
      <c r="B89">
        <v>8</v>
      </c>
      <c r="D89" t="s">
        <v>56</v>
      </c>
      <c r="E89" t="s">
        <v>622</v>
      </c>
      <c r="L89" s="21" t="s">
        <v>289</v>
      </c>
      <c r="M89" s="21">
        <v>20</v>
      </c>
      <c r="N89" s="21">
        <v>85</v>
      </c>
      <c r="O89" s="21">
        <v>3</v>
      </c>
      <c r="P89" s="21">
        <v>5</v>
      </c>
      <c r="Q89" s="21">
        <v>4</v>
      </c>
      <c r="R89" s="21">
        <v>3</v>
      </c>
      <c r="S89" s="21">
        <v>4</v>
      </c>
      <c r="T89" s="21">
        <v>1</v>
      </c>
      <c r="U89" s="21">
        <v>2</v>
      </c>
      <c r="V89" s="21">
        <v>1</v>
      </c>
      <c r="W89" s="21">
        <v>9</v>
      </c>
      <c r="X89" s="29" t="s">
        <v>119</v>
      </c>
      <c r="Y89" s="32" t="s">
        <v>451</v>
      </c>
      <c r="Z89" s="32" t="s">
        <v>806</v>
      </c>
    </row>
    <row r="90" spans="1:26" ht="12.75">
      <c r="A90" t="s">
        <v>1017</v>
      </c>
      <c r="B90">
        <v>6</v>
      </c>
      <c r="D90" t="s">
        <v>603</v>
      </c>
      <c r="E90" t="s">
        <v>623</v>
      </c>
      <c r="L90" s="18" t="s">
        <v>290</v>
      </c>
      <c r="M90" s="18">
        <v>10</v>
      </c>
      <c r="N90" s="18">
        <v>50</v>
      </c>
      <c r="O90" s="18">
        <v>3</v>
      </c>
      <c r="P90" s="18">
        <v>4</v>
      </c>
      <c r="Q90" s="18">
        <v>3</v>
      </c>
      <c r="R90" s="18">
        <v>3</v>
      </c>
      <c r="S90" s="18">
        <v>4</v>
      </c>
      <c r="T90" s="18">
        <v>1</v>
      </c>
      <c r="U90" s="18">
        <v>2</v>
      </c>
      <c r="V90" s="18">
        <v>1</v>
      </c>
      <c r="W90" s="18">
        <v>9</v>
      </c>
      <c r="X90" s="30" t="s">
        <v>294</v>
      </c>
      <c r="Y90" s="32" t="s">
        <v>452</v>
      </c>
      <c r="Z90" s="32" t="s">
        <v>797</v>
      </c>
    </row>
    <row r="91" spans="1:26" ht="12.75">
      <c r="A91" t="s">
        <v>56</v>
      </c>
      <c r="B91">
        <v>150</v>
      </c>
      <c r="D91" t="s">
        <v>618</v>
      </c>
      <c r="E91" t="s">
        <v>619</v>
      </c>
      <c r="L91" s="18" t="s">
        <v>463</v>
      </c>
      <c r="M91" s="18">
        <v>8</v>
      </c>
      <c r="N91" s="18">
        <v>50</v>
      </c>
      <c r="O91" s="18">
        <v>3</v>
      </c>
      <c r="P91" s="18">
        <v>4</v>
      </c>
      <c r="Q91" s="18">
        <v>3</v>
      </c>
      <c r="R91" s="18">
        <v>3</v>
      </c>
      <c r="S91" s="18">
        <v>4</v>
      </c>
      <c r="T91" s="18">
        <v>1</v>
      </c>
      <c r="U91" s="18">
        <v>2</v>
      </c>
      <c r="V91" s="18">
        <v>1</v>
      </c>
      <c r="W91" s="18">
        <v>9</v>
      </c>
      <c r="X91" s="30" t="s">
        <v>295</v>
      </c>
      <c r="Y91" s="32" t="s">
        <v>462</v>
      </c>
      <c r="Z91" s="32" t="s">
        <v>713</v>
      </c>
    </row>
    <row r="92" spans="1:26" ht="12.75">
      <c r="A92" t="s">
        <v>603</v>
      </c>
      <c r="B92">
        <v>160</v>
      </c>
      <c r="D92" t="s">
        <v>625</v>
      </c>
      <c r="E92" t="s">
        <v>624</v>
      </c>
      <c r="L92" t="s">
        <v>291</v>
      </c>
      <c r="M92">
        <v>0</v>
      </c>
      <c r="N92">
        <v>40</v>
      </c>
      <c r="O92">
        <v>3</v>
      </c>
      <c r="P92">
        <v>4</v>
      </c>
      <c r="Q92">
        <v>3</v>
      </c>
      <c r="R92">
        <v>3</v>
      </c>
      <c r="S92">
        <v>4</v>
      </c>
      <c r="T92">
        <v>1</v>
      </c>
      <c r="U92">
        <v>2</v>
      </c>
      <c r="V92">
        <v>1</v>
      </c>
      <c r="W92">
        <v>9</v>
      </c>
      <c r="X92" s="28"/>
      <c r="Y92" s="32" t="s">
        <v>451</v>
      </c>
      <c r="Z92" s="32"/>
    </row>
    <row r="93" spans="1:26" ht="12.75">
      <c r="A93" t="s">
        <v>1018</v>
      </c>
      <c r="B93">
        <v>75</v>
      </c>
      <c r="D93" s="32" t="s">
        <v>559</v>
      </c>
      <c r="E93" t="s">
        <v>620</v>
      </c>
      <c r="L93" t="s">
        <v>292</v>
      </c>
      <c r="M93">
        <v>0</v>
      </c>
      <c r="N93">
        <v>40</v>
      </c>
      <c r="O93">
        <v>3</v>
      </c>
      <c r="P93">
        <v>4</v>
      </c>
      <c r="Q93">
        <v>3</v>
      </c>
      <c r="R93">
        <v>3</v>
      </c>
      <c r="S93">
        <v>4</v>
      </c>
      <c r="T93">
        <v>1</v>
      </c>
      <c r="U93">
        <v>2</v>
      </c>
      <c r="V93">
        <v>1</v>
      </c>
      <c r="W93">
        <v>9</v>
      </c>
      <c r="X93" s="28"/>
      <c r="Y93" s="32" t="s">
        <v>452</v>
      </c>
      <c r="Z93" s="32"/>
    </row>
    <row r="94" spans="1:26" ht="12.75">
      <c r="A94" t="s">
        <v>1019</v>
      </c>
      <c r="B94">
        <v>80</v>
      </c>
      <c r="D94" t="s">
        <v>643</v>
      </c>
      <c r="E94" t="s">
        <v>620</v>
      </c>
      <c r="L94" t="s">
        <v>293</v>
      </c>
      <c r="M94">
        <v>0</v>
      </c>
      <c r="N94">
        <v>25</v>
      </c>
      <c r="O94">
        <v>3</v>
      </c>
      <c r="P94">
        <v>3</v>
      </c>
      <c r="Q94">
        <v>2</v>
      </c>
      <c r="R94">
        <v>3</v>
      </c>
      <c r="S94">
        <v>4</v>
      </c>
      <c r="T94">
        <v>1</v>
      </c>
      <c r="U94">
        <v>2</v>
      </c>
      <c r="V94">
        <v>1</v>
      </c>
      <c r="W94">
        <v>8</v>
      </c>
      <c r="X94" s="28"/>
      <c r="Y94" s="32" t="s">
        <v>451</v>
      </c>
      <c r="Z94" s="32"/>
    </row>
    <row r="95" spans="1:24" ht="12.75">
      <c r="A95" t="s">
        <v>456</v>
      </c>
      <c r="B95">
        <v>20</v>
      </c>
      <c r="D95" t="s">
        <v>645</v>
      </c>
      <c r="E95" t="s">
        <v>620</v>
      </c>
      <c r="X95" s="28"/>
    </row>
    <row r="96" spans="1:26" ht="12.75">
      <c r="A96" t="s">
        <v>1020</v>
      </c>
      <c r="B96">
        <v>15</v>
      </c>
      <c r="D96" t="s">
        <v>646</v>
      </c>
      <c r="E96" t="s">
        <v>621</v>
      </c>
      <c r="L96" s="21" t="s">
        <v>296</v>
      </c>
      <c r="M96" s="21">
        <v>20</v>
      </c>
      <c r="N96" s="21">
        <v>80</v>
      </c>
      <c r="O96" s="21">
        <v>4</v>
      </c>
      <c r="P96" s="21">
        <v>4</v>
      </c>
      <c r="Q96" s="21">
        <v>4</v>
      </c>
      <c r="R96" s="21">
        <v>3</v>
      </c>
      <c r="S96" s="21">
        <v>3</v>
      </c>
      <c r="T96" s="21">
        <v>1</v>
      </c>
      <c r="U96" s="21">
        <v>3</v>
      </c>
      <c r="V96" s="21">
        <v>1</v>
      </c>
      <c r="W96" s="21">
        <v>8</v>
      </c>
      <c r="X96" s="29" t="s">
        <v>301</v>
      </c>
      <c r="Y96" s="32" t="s">
        <v>468</v>
      </c>
      <c r="Z96" s="32" t="s">
        <v>790</v>
      </c>
    </row>
    <row r="97" spans="1:26" ht="12.75">
      <c r="A97" t="s">
        <v>459</v>
      </c>
      <c r="B97">
        <v>60</v>
      </c>
      <c r="D97" t="s">
        <v>644</v>
      </c>
      <c r="E97" t="s">
        <v>396</v>
      </c>
      <c r="L97" s="18" t="s">
        <v>297</v>
      </c>
      <c r="M97" s="18">
        <v>10</v>
      </c>
      <c r="N97" s="18">
        <v>35</v>
      </c>
      <c r="O97" s="18">
        <v>4</v>
      </c>
      <c r="P97" s="18">
        <v>3</v>
      </c>
      <c r="Q97" s="18">
        <v>3</v>
      </c>
      <c r="R97" s="18">
        <v>4</v>
      </c>
      <c r="S97" s="18">
        <v>3</v>
      </c>
      <c r="T97" s="18">
        <v>1</v>
      </c>
      <c r="U97" s="18">
        <v>3</v>
      </c>
      <c r="V97" s="18">
        <v>1</v>
      </c>
      <c r="W97" s="18">
        <v>7</v>
      </c>
      <c r="X97" s="30" t="s">
        <v>302</v>
      </c>
      <c r="Y97" s="32" t="s">
        <v>468</v>
      </c>
      <c r="Z97" s="32" t="s">
        <v>801</v>
      </c>
    </row>
    <row r="98" spans="1:26" ht="12.75">
      <c r="A98" t="s">
        <v>1021</v>
      </c>
      <c r="B98">
        <v>45</v>
      </c>
      <c r="D98" t="s">
        <v>647</v>
      </c>
      <c r="E98" t="s">
        <v>396</v>
      </c>
      <c r="L98" s="18" t="s">
        <v>298</v>
      </c>
      <c r="M98" s="18">
        <v>8</v>
      </c>
      <c r="N98" s="18">
        <v>35</v>
      </c>
      <c r="O98" s="18">
        <v>4</v>
      </c>
      <c r="P98" s="18">
        <v>4</v>
      </c>
      <c r="Q98" s="18">
        <v>3</v>
      </c>
      <c r="R98" s="18">
        <v>3</v>
      </c>
      <c r="S98" s="18">
        <v>3</v>
      </c>
      <c r="T98" s="18">
        <v>1</v>
      </c>
      <c r="U98" s="18">
        <v>3</v>
      </c>
      <c r="V98" s="18">
        <v>1</v>
      </c>
      <c r="W98" s="18">
        <v>7</v>
      </c>
      <c r="X98" s="30"/>
      <c r="Y98" s="32" t="s">
        <v>468</v>
      </c>
      <c r="Z98" s="32" t="s">
        <v>791</v>
      </c>
    </row>
    <row r="99" spans="1:26" ht="12.75">
      <c r="A99" t="s">
        <v>457</v>
      </c>
      <c r="B99">
        <v>60</v>
      </c>
      <c r="D99" t="s">
        <v>648</v>
      </c>
      <c r="E99" t="s">
        <v>396</v>
      </c>
      <c r="L99" s="18" t="s">
        <v>931</v>
      </c>
      <c r="M99" s="18">
        <v>0</v>
      </c>
      <c r="N99" s="18">
        <v>15</v>
      </c>
      <c r="O99" s="18">
        <v>4</v>
      </c>
      <c r="P99" s="18">
        <v>2</v>
      </c>
      <c r="Q99" s="18">
        <v>2</v>
      </c>
      <c r="R99" s="18">
        <v>3</v>
      </c>
      <c r="S99" s="18">
        <v>3</v>
      </c>
      <c r="T99" s="18">
        <v>1</v>
      </c>
      <c r="U99" s="18">
        <v>3</v>
      </c>
      <c r="V99" s="18">
        <v>1</v>
      </c>
      <c r="W99" s="18">
        <v>6</v>
      </c>
      <c r="X99" s="30"/>
      <c r="Y99" s="32" t="s">
        <v>468</v>
      </c>
      <c r="Z99" s="32" t="s">
        <v>807</v>
      </c>
    </row>
    <row r="100" spans="1:26" ht="12.75">
      <c r="A100" t="s">
        <v>1022</v>
      </c>
      <c r="B100">
        <v>45</v>
      </c>
      <c r="D100" t="s">
        <v>657</v>
      </c>
      <c r="E100" t="s">
        <v>396</v>
      </c>
      <c r="L100" s="20" t="s">
        <v>300</v>
      </c>
      <c r="M100" s="20">
        <v>0</v>
      </c>
      <c r="N100" s="20">
        <v>25</v>
      </c>
      <c r="O100" s="20">
        <v>4</v>
      </c>
      <c r="P100" s="20">
        <v>3</v>
      </c>
      <c r="Q100" s="20">
        <v>3</v>
      </c>
      <c r="R100" s="20">
        <v>3</v>
      </c>
      <c r="S100" s="20">
        <v>3</v>
      </c>
      <c r="T100" s="20">
        <v>1</v>
      </c>
      <c r="U100" s="20">
        <v>3</v>
      </c>
      <c r="V100" s="20">
        <v>1</v>
      </c>
      <c r="W100" s="20">
        <v>7</v>
      </c>
      <c r="X100" s="31"/>
      <c r="Y100" s="32" t="s">
        <v>468</v>
      </c>
      <c r="Z100" s="32"/>
    </row>
    <row r="101" spans="1:26" ht="12.75">
      <c r="A101" t="s">
        <v>461</v>
      </c>
      <c r="B101">
        <v>40</v>
      </c>
      <c r="D101" t="s">
        <v>658</v>
      </c>
      <c r="E101" t="s">
        <v>396</v>
      </c>
      <c r="L101" s="20" t="s">
        <v>299</v>
      </c>
      <c r="M101" s="20">
        <v>0</v>
      </c>
      <c r="N101" s="20">
        <v>30</v>
      </c>
      <c r="O101" s="20">
        <v>4</v>
      </c>
      <c r="P101" s="20">
        <v>3</v>
      </c>
      <c r="Q101" s="20">
        <v>3</v>
      </c>
      <c r="R101" s="20">
        <v>3</v>
      </c>
      <c r="S101" s="20">
        <v>3</v>
      </c>
      <c r="T101" s="20">
        <v>1</v>
      </c>
      <c r="U101" s="20">
        <v>3</v>
      </c>
      <c r="V101" s="20">
        <v>1</v>
      </c>
      <c r="W101" s="20">
        <v>7</v>
      </c>
      <c r="X101" s="31" t="s">
        <v>303</v>
      </c>
      <c r="Y101" s="32" t="s">
        <v>468</v>
      </c>
      <c r="Z101" s="32"/>
    </row>
    <row r="102" spans="1:26" ht="12.75">
      <c r="A102" t="s">
        <v>1023</v>
      </c>
      <c r="B102">
        <v>30</v>
      </c>
      <c r="D102" t="s">
        <v>659</v>
      </c>
      <c r="E102" t="s">
        <v>396</v>
      </c>
      <c r="L102" s="20" t="s">
        <v>469</v>
      </c>
      <c r="M102" s="20">
        <v>0</v>
      </c>
      <c r="N102" s="20">
        <v>25</v>
      </c>
      <c r="O102" s="20">
        <v>4</v>
      </c>
      <c r="P102" s="20">
        <v>3</v>
      </c>
      <c r="Q102" s="20">
        <v>3</v>
      </c>
      <c r="R102" s="20">
        <v>3</v>
      </c>
      <c r="S102" s="20">
        <v>3</v>
      </c>
      <c r="T102" s="20">
        <v>1</v>
      </c>
      <c r="U102" s="20">
        <v>3</v>
      </c>
      <c r="V102" s="20">
        <v>1</v>
      </c>
      <c r="W102" s="20">
        <v>7</v>
      </c>
      <c r="X102" s="31" t="s">
        <v>304</v>
      </c>
      <c r="Y102" s="32" t="s">
        <v>470</v>
      </c>
      <c r="Z102" s="32"/>
    </row>
    <row r="103" spans="1:26" ht="12.75">
      <c r="A103" t="s">
        <v>454</v>
      </c>
      <c r="B103">
        <v>12</v>
      </c>
      <c r="D103" t="s">
        <v>660</v>
      </c>
      <c r="E103" t="s">
        <v>396</v>
      </c>
      <c r="L103" s="20" t="s">
        <v>305</v>
      </c>
      <c r="M103" s="20">
        <v>0</v>
      </c>
      <c r="N103" s="20">
        <v>145</v>
      </c>
      <c r="O103" s="20">
        <v>6</v>
      </c>
      <c r="P103" s="20">
        <v>3</v>
      </c>
      <c r="Q103" s="20">
        <v>0</v>
      </c>
      <c r="R103" s="20">
        <v>5</v>
      </c>
      <c r="S103" s="20">
        <v>5</v>
      </c>
      <c r="T103" s="20">
        <v>2</v>
      </c>
      <c r="U103" s="20">
        <v>2</v>
      </c>
      <c r="V103" s="20">
        <v>2</v>
      </c>
      <c r="W103" s="20">
        <v>6</v>
      </c>
      <c r="X103" s="31" t="s">
        <v>306</v>
      </c>
      <c r="Y103" s="32" t="s">
        <v>430</v>
      </c>
      <c r="Z103" s="32"/>
    </row>
    <row r="104" spans="1:24" ht="12.75">
      <c r="A104" t="s">
        <v>1024</v>
      </c>
      <c r="B104">
        <v>9</v>
      </c>
      <c r="D104" t="s">
        <v>65</v>
      </c>
      <c r="E104" t="s">
        <v>621</v>
      </c>
      <c r="X104" s="28"/>
    </row>
    <row r="105" spans="1:26" ht="12.75">
      <c r="A105" t="s">
        <v>455</v>
      </c>
      <c r="B105">
        <v>12</v>
      </c>
      <c r="D105" t="s">
        <v>671</v>
      </c>
      <c r="E105" t="s">
        <v>622</v>
      </c>
      <c r="L105" s="21" t="s">
        <v>307</v>
      </c>
      <c r="M105" s="21">
        <v>20</v>
      </c>
      <c r="N105" s="21">
        <v>80</v>
      </c>
      <c r="O105" s="21">
        <v>4</v>
      </c>
      <c r="P105" s="21">
        <v>4</v>
      </c>
      <c r="Q105" s="21">
        <v>4</v>
      </c>
      <c r="R105" s="21">
        <v>4</v>
      </c>
      <c r="S105" s="21">
        <v>4</v>
      </c>
      <c r="T105" s="21">
        <v>1</v>
      </c>
      <c r="U105" s="21">
        <v>3</v>
      </c>
      <c r="V105" s="21">
        <v>1</v>
      </c>
      <c r="W105" s="21">
        <v>8</v>
      </c>
      <c r="X105" s="29" t="s">
        <v>119</v>
      </c>
      <c r="Y105" t="s">
        <v>471</v>
      </c>
      <c r="Z105" t="s">
        <v>796</v>
      </c>
    </row>
    <row r="106" spans="1:26" ht="12.75">
      <c r="A106" t="s">
        <v>1025</v>
      </c>
      <c r="B106">
        <v>9</v>
      </c>
      <c r="D106" t="s">
        <v>736</v>
      </c>
      <c r="E106" t="s">
        <v>623</v>
      </c>
      <c r="L106" s="18" t="s">
        <v>308</v>
      </c>
      <c r="M106" s="18">
        <v>10</v>
      </c>
      <c r="N106" s="18">
        <v>40</v>
      </c>
      <c r="O106" s="18">
        <v>4</v>
      </c>
      <c r="P106" s="18">
        <v>3</v>
      </c>
      <c r="Q106" s="18">
        <v>3</v>
      </c>
      <c r="R106" s="18">
        <v>3</v>
      </c>
      <c r="S106" s="18">
        <v>4</v>
      </c>
      <c r="T106" s="18">
        <v>1</v>
      </c>
      <c r="U106" s="18">
        <v>3</v>
      </c>
      <c r="V106" s="18">
        <v>1</v>
      </c>
      <c r="W106" s="18">
        <v>7</v>
      </c>
      <c r="X106" s="30" t="s">
        <v>120</v>
      </c>
      <c r="Y106" t="s">
        <v>473</v>
      </c>
      <c r="Z106" t="s">
        <v>808</v>
      </c>
    </row>
    <row r="107" spans="1:26" ht="12.75">
      <c r="A107" t="s">
        <v>460</v>
      </c>
      <c r="B107">
        <v>40</v>
      </c>
      <c r="D107" t="s">
        <v>855</v>
      </c>
      <c r="E107" t="s">
        <v>622</v>
      </c>
      <c r="L107" s="18" t="s">
        <v>313</v>
      </c>
      <c r="M107" s="18">
        <v>15</v>
      </c>
      <c r="N107" s="18">
        <v>40</v>
      </c>
      <c r="O107" s="18">
        <v>4</v>
      </c>
      <c r="P107" s="18">
        <v>4</v>
      </c>
      <c r="Q107" s="18">
        <v>3</v>
      </c>
      <c r="R107" s="18">
        <v>3</v>
      </c>
      <c r="S107" s="18">
        <v>4</v>
      </c>
      <c r="T107" s="18">
        <v>1</v>
      </c>
      <c r="U107" s="18">
        <v>3</v>
      </c>
      <c r="V107" s="18">
        <v>1</v>
      </c>
      <c r="W107" s="18">
        <v>7</v>
      </c>
      <c r="X107" s="30"/>
      <c r="Y107" t="s">
        <v>471</v>
      </c>
      <c r="Z107" t="s">
        <v>806</v>
      </c>
    </row>
    <row r="108" spans="1:25" ht="12.75">
      <c r="A108" t="s">
        <v>1026</v>
      </c>
      <c r="B108">
        <v>30</v>
      </c>
      <c r="D108" t="s">
        <v>856</v>
      </c>
      <c r="E108" t="s">
        <v>623</v>
      </c>
      <c r="L108" s="20" t="s">
        <v>309</v>
      </c>
      <c r="M108">
        <v>0</v>
      </c>
      <c r="N108">
        <v>25</v>
      </c>
      <c r="O108">
        <v>4</v>
      </c>
      <c r="P108">
        <v>3</v>
      </c>
      <c r="Q108">
        <v>3</v>
      </c>
      <c r="R108">
        <v>3</v>
      </c>
      <c r="S108">
        <v>4</v>
      </c>
      <c r="T108">
        <v>1</v>
      </c>
      <c r="U108">
        <v>2</v>
      </c>
      <c r="V108">
        <v>1</v>
      </c>
      <c r="W108">
        <v>7</v>
      </c>
      <c r="X108" s="28" t="s">
        <v>314</v>
      </c>
      <c r="Y108" t="s">
        <v>471</v>
      </c>
    </row>
    <row r="109" spans="1:25" ht="12.75">
      <c r="A109" t="s">
        <v>458</v>
      </c>
      <c r="B109">
        <v>40</v>
      </c>
      <c r="D109" t="s">
        <v>853</v>
      </c>
      <c r="E109" t="s">
        <v>621</v>
      </c>
      <c r="L109" t="s">
        <v>310</v>
      </c>
      <c r="M109">
        <v>0</v>
      </c>
      <c r="N109">
        <v>15</v>
      </c>
      <c r="O109">
        <v>4</v>
      </c>
      <c r="P109">
        <v>2</v>
      </c>
      <c r="Q109">
        <v>3</v>
      </c>
      <c r="R109">
        <v>3</v>
      </c>
      <c r="S109">
        <v>3</v>
      </c>
      <c r="T109">
        <v>1</v>
      </c>
      <c r="U109">
        <v>3</v>
      </c>
      <c r="V109">
        <v>1</v>
      </c>
      <c r="W109">
        <v>5</v>
      </c>
      <c r="X109" s="28" t="s">
        <v>315</v>
      </c>
      <c r="Y109" t="s">
        <v>472</v>
      </c>
    </row>
    <row r="110" spans="1:25" ht="12.75">
      <c r="A110" t="s">
        <v>1027</v>
      </c>
      <c r="B110">
        <v>30</v>
      </c>
      <c r="D110" t="s">
        <v>854</v>
      </c>
      <c r="E110" t="s">
        <v>620</v>
      </c>
      <c r="L110" t="s">
        <v>311</v>
      </c>
      <c r="M110">
        <v>0</v>
      </c>
      <c r="N110">
        <v>15</v>
      </c>
      <c r="O110" t="s">
        <v>316</v>
      </c>
      <c r="P110">
        <v>4</v>
      </c>
      <c r="Q110">
        <v>0</v>
      </c>
      <c r="R110">
        <v>4</v>
      </c>
      <c r="S110">
        <v>3</v>
      </c>
      <c r="T110">
        <v>1</v>
      </c>
      <c r="U110">
        <v>4</v>
      </c>
      <c r="V110">
        <v>1</v>
      </c>
      <c r="W110">
        <v>5</v>
      </c>
      <c r="X110" s="28" t="s">
        <v>317</v>
      </c>
      <c r="Y110" t="s">
        <v>430</v>
      </c>
    </row>
    <row r="111" spans="1:25" ht="12.75">
      <c r="A111" t="s">
        <v>57</v>
      </c>
      <c r="B111">
        <v>10</v>
      </c>
      <c r="D111" t="s">
        <v>857</v>
      </c>
      <c r="E111" t="s">
        <v>622</v>
      </c>
      <c r="L111" t="s">
        <v>312</v>
      </c>
      <c r="M111">
        <v>0</v>
      </c>
      <c r="N111">
        <v>200</v>
      </c>
      <c r="O111">
        <v>6</v>
      </c>
      <c r="P111">
        <v>3</v>
      </c>
      <c r="Q111">
        <v>1</v>
      </c>
      <c r="R111">
        <v>5</v>
      </c>
      <c r="S111">
        <v>4</v>
      </c>
      <c r="T111">
        <v>3</v>
      </c>
      <c r="U111">
        <v>1</v>
      </c>
      <c r="V111">
        <v>3</v>
      </c>
      <c r="W111">
        <v>4</v>
      </c>
      <c r="X111" s="28" t="s">
        <v>318</v>
      </c>
      <c r="Y111" t="s">
        <v>430</v>
      </c>
    </row>
    <row r="112" spans="1:24" ht="12.75">
      <c r="A112" t="s">
        <v>1046</v>
      </c>
      <c r="B112">
        <v>30</v>
      </c>
      <c r="D112" t="s">
        <v>858</v>
      </c>
      <c r="E112" t="s">
        <v>621</v>
      </c>
      <c r="X112" s="28"/>
    </row>
    <row r="113" spans="1:26" ht="12.75">
      <c r="A113" t="s">
        <v>409</v>
      </c>
      <c r="B113">
        <v>3</v>
      </c>
      <c r="D113" t="s">
        <v>860</v>
      </c>
      <c r="E113" t="s">
        <v>622</v>
      </c>
      <c r="L113" s="21" t="s">
        <v>319</v>
      </c>
      <c r="M113" s="21">
        <v>20</v>
      </c>
      <c r="N113" s="21">
        <v>60</v>
      </c>
      <c r="O113" s="21">
        <v>4</v>
      </c>
      <c r="P113" s="21">
        <v>4</v>
      </c>
      <c r="Q113" s="21">
        <v>4</v>
      </c>
      <c r="R113" s="21">
        <v>3</v>
      </c>
      <c r="S113" s="21">
        <v>3</v>
      </c>
      <c r="T113" s="21">
        <v>1</v>
      </c>
      <c r="U113" s="21">
        <v>4</v>
      </c>
      <c r="V113" s="21">
        <v>1</v>
      </c>
      <c r="W113" s="21">
        <v>8</v>
      </c>
      <c r="X113" s="29" t="s">
        <v>119</v>
      </c>
      <c r="Y113" t="s">
        <v>464</v>
      </c>
      <c r="Z113" t="s">
        <v>796</v>
      </c>
    </row>
    <row r="114" spans="1:26" ht="12.75">
      <c r="A114" t="s">
        <v>58</v>
      </c>
      <c r="B114">
        <v>100</v>
      </c>
      <c r="D114" t="s">
        <v>961</v>
      </c>
      <c r="E114" t="s">
        <v>620</v>
      </c>
      <c r="L114" s="18" t="s">
        <v>932</v>
      </c>
      <c r="M114" s="18">
        <v>12</v>
      </c>
      <c r="N114" s="18">
        <v>35</v>
      </c>
      <c r="O114" s="18">
        <v>4</v>
      </c>
      <c r="P114" s="18">
        <v>4</v>
      </c>
      <c r="Q114" s="18">
        <v>3</v>
      </c>
      <c r="R114" s="18">
        <v>3</v>
      </c>
      <c r="S114" s="18">
        <v>3</v>
      </c>
      <c r="T114" s="18">
        <v>1</v>
      </c>
      <c r="U114" s="18">
        <v>3</v>
      </c>
      <c r="V114" s="18">
        <v>1</v>
      </c>
      <c r="W114" s="18">
        <v>7</v>
      </c>
      <c r="X114" s="30"/>
      <c r="Y114" t="s">
        <v>464</v>
      </c>
      <c r="Z114" t="s">
        <v>713</v>
      </c>
    </row>
    <row r="115" spans="1:26" ht="12.75">
      <c r="A115" t="s">
        <v>59</v>
      </c>
      <c r="B115">
        <v>35</v>
      </c>
      <c r="D115" t="s">
        <v>1262</v>
      </c>
      <c r="E115" t="s">
        <v>620</v>
      </c>
      <c r="L115" s="18" t="s">
        <v>320</v>
      </c>
      <c r="M115" s="18">
        <v>12</v>
      </c>
      <c r="N115" s="18">
        <v>45</v>
      </c>
      <c r="O115" s="18">
        <v>4</v>
      </c>
      <c r="P115" s="18">
        <v>2</v>
      </c>
      <c r="Q115" s="18">
        <v>3</v>
      </c>
      <c r="R115" s="18">
        <v>3</v>
      </c>
      <c r="S115" s="18">
        <v>3</v>
      </c>
      <c r="T115" s="18">
        <v>1</v>
      </c>
      <c r="U115" s="18">
        <v>3</v>
      </c>
      <c r="V115" s="18">
        <v>1</v>
      </c>
      <c r="W115" s="18">
        <v>7</v>
      </c>
      <c r="X115" s="30" t="s">
        <v>325</v>
      </c>
      <c r="Y115" t="s">
        <v>464</v>
      </c>
      <c r="Z115" t="s">
        <v>792</v>
      </c>
    </row>
    <row r="116" spans="1:25" ht="12.75">
      <c r="A116" t="s">
        <v>960</v>
      </c>
      <c r="B116">
        <v>70</v>
      </c>
      <c r="D116" t="s">
        <v>1263</v>
      </c>
      <c r="E116" t="s">
        <v>620</v>
      </c>
      <c r="L116" t="s">
        <v>321</v>
      </c>
      <c r="M116">
        <v>0</v>
      </c>
      <c r="N116">
        <v>25</v>
      </c>
      <c r="O116">
        <v>4</v>
      </c>
      <c r="P116">
        <v>3</v>
      </c>
      <c r="Q116">
        <v>3</v>
      </c>
      <c r="R116">
        <v>3</v>
      </c>
      <c r="S116">
        <v>3</v>
      </c>
      <c r="T116">
        <v>1</v>
      </c>
      <c r="U116">
        <v>3</v>
      </c>
      <c r="V116">
        <v>1</v>
      </c>
      <c r="W116">
        <v>7</v>
      </c>
      <c r="X116" s="28"/>
      <c r="Y116" t="s">
        <v>464</v>
      </c>
    </row>
    <row r="117" spans="1:25" ht="12.75">
      <c r="A117" t="s">
        <v>542</v>
      </c>
      <c r="B117">
        <v>20</v>
      </c>
      <c r="D117" t="s">
        <v>102</v>
      </c>
      <c r="E117" t="s">
        <v>620</v>
      </c>
      <c r="L117" t="s">
        <v>322</v>
      </c>
      <c r="M117">
        <v>0</v>
      </c>
      <c r="N117">
        <v>25</v>
      </c>
      <c r="O117">
        <v>4</v>
      </c>
      <c r="P117">
        <v>2</v>
      </c>
      <c r="Q117">
        <v>2</v>
      </c>
      <c r="R117">
        <v>3</v>
      </c>
      <c r="S117">
        <v>3</v>
      </c>
      <c r="T117">
        <v>1</v>
      </c>
      <c r="U117">
        <v>2</v>
      </c>
      <c r="V117">
        <v>1</v>
      </c>
      <c r="W117">
        <v>10</v>
      </c>
      <c r="X117" s="28" t="s">
        <v>326</v>
      </c>
      <c r="Y117" t="s">
        <v>466</v>
      </c>
    </row>
    <row r="118" spans="1:25" ht="12.75">
      <c r="A118" t="s">
        <v>1047</v>
      </c>
      <c r="B118">
        <v>35</v>
      </c>
      <c r="D118" t="s">
        <v>971</v>
      </c>
      <c r="E118" t="s">
        <v>621</v>
      </c>
      <c r="L118" t="s">
        <v>323</v>
      </c>
      <c r="M118">
        <v>0</v>
      </c>
      <c r="N118">
        <v>25</v>
      </c>
      <c r="O118">
        <v>4</v>
      </c>
      <c r="P118">
        <v>3</v>
      </c>
      <c r="Q118">
        <v>3</v>
      </c>
      <c r="R118">
        <v>3</v>
      </c>
      <c r="S118">
        <v>3</v>
      </c>
      <c r="T118">
        <v>1</v>
      </c>
      <c r="U118">
        <v>3</v>
      </c>
      <c r="V118">
        <v>1</v>
      </c>
      <c r="W118">
        <v>7</v>
      </c>
      <c r="X118" s="28"/>
      <c r="Y118" t="s">
        <v>465</v>
      </c>
    </row>
    <row r="119" spans="1:25" ht="12.75">
      <c r="A119" t="s">
        <v>60</v>
      </c>
      <c r="B119">
        <v>50</v>
      </c>
      <c r="L119" t="s">
        <v>324</v>
      </c>
      <c r="M119">
        <v>0</v>
      </c>
      <c r="N119">
        <v>160</v>
      </c>
      <c r="O119">
        <v>6</v>
      </c>
      <c r="P119">
        <v>3</v>
      </c>
      <c r="Q119">
        <v>2</v>
      </c>
      <c r="R119">
        <v>4</v>
      </c>
      <c r="S119">
        <v>4</v>
      </c>
      <c r="T119">
        <v>3</v>
      </c>
      <c r="U119">
        <v>3</v>
      </c>
      <c r="V119">
        <v>2</v>
      </c>
      <c r="W119">
        <v>7</v>
      </c>
      <c r="X119" s="28" t="s">
        <v>477</v>
      </c>
      <c r="Y119" t="s">
        <v>467</v>
      </c>
    </row>
    <row r="120" spans="1:24" ht="12.75">
      <c r="A120" t="s">
        <v>596</v>
      </c>
      <c r="B120">
        <v>55</v>
      </c>
      <c r="X120" s="28"/>
    </row>
    <row r="121" spans="1:26" ht="12.75">
      <c r="A121" t="s">
        <v>61</v>
      </c>
      <c r="B121">
        <v>10</v>
      </c>
      <c r="L121" s="21" t="s">
        <v>328</v>
      </c>
      <c r="M121" s="21">
        <v>20</v>
      </c>
      <c r="N121" s="21">
        <v>70</v>
      </c>
      <c r="O121" s="21">
        <v>4</v>
      </c>
      <c r="P121" s="21">
        <v>4</v>
      </c>
      <c r="Q121" s="21">
        <v>4</v>
      </c>
      <c r="R121" s="21">
        <v>3</v>
      </c>
      <c r="S121" s="21">
        <v>3</v>
      </c>
      <c r="T121" s="21">
        <v>1</v>
      </c>
      <c r="U121" s="21">
        <v>4</v>
      </c>
      <c r="V121" s="21">
        <v>1</v>
      </c>
      <c r="W121" s="21">
        <v>8</v>
      </c>
      <c r="X121" s="29" t="s">
        <v>181</v>
      </c>
      <c r="Y121" s="32" t="s">
        <v>543</v>
      </c>
      <c r="Z121" t="s">
        <v>790</v>
      </c>
    </row>
    <row r="122" spans="1:26" ht="12.75">
      <c r="A122" t="s">
        <v>62</v>
      </c>
      <c r="B122">
        <v>200</v>
      </c>
      <c r="L122" s="18" t="s">
        <v>331</v>
      </c>
      <c r="M122" s="18">
        <v>8</v>
      </c>
      <c r="N122" s="18">
        <v>35</v>
      </c>
      <c r="O122" s="18">
        <v>4</v>
      </c>
      <c r="P122" s="18">
        <v>4</v>
      </c>
      <c r="Q122" s="18">
        <v>3</v>
      </c>
      <c r="R122" s="18">
        <v>3</v>
      </c>
      <c r="S122" s="18">
        <v>3</v>
      </c>
      <c r="T122" s="18">
        <v>1</v>
      </c>
      <c r="U122" s="18">
        <v>3</v>
      </c>
      <c r="V122" s="18">
        <v>1</v>
      </c>
      <c r="W122" s="18">
        <v>7</v>
      </c>
      <c r="X122" s="30"/>
      <c r="Y122" s="32" t="s">
        <v>544</v>
      </c>
      <c r="Z122" t="s">
        <v>807</v>
      </c>
    </row>
    <row r="123" spans="1:26" ht="12.75">
      <c r="A123" t="s">
        <v>425</v>
      </c>
      <c r="B123">
        <v>15</v>
      </c>
      <c r="L123" s="18" t="s">
        <v>329</v>
      </c>
      <c r="M123" s="18">
        <v>8</v>
      </c>
      <c r="N123" s="18">
        <v>30</v>
      </c>
      <c r="O123" s="18">
        <v>4</v>
      </c>
      <c r="P123" s="18">
        <v>4</v>
      </c>
      <c r="Q123" s="18">
        <v>2</v>
      </c>
      <c r="R123" s="18">
        <v>3</v>
      </c>
      <c r="S123" s="18">
        <v>3</v>
      </c>
      <c r="T123" s="18">
        <v>1</v>
      </c>
      <c r="U123" s="18">
        <v>3</v>
      </c>
      <c r="V123" s="59">
        <v>1</v>
      </c>
      <c r="W123" s="18">
        <v>7</v>
      </c>
      <c r="X123" s="30" t="s">
        <v>332</v>
      </c>
      <c r="Y123" s="32" t="s">
        <v>544</v>
      </c>
      <c r="Z123" t="s">
        <v>801</v>
      </c>
    </row>
    <row r="124" spans="1:25" ht="12.75">
      <c r="A124" t="s">
        <v>423</v>
      </c>
      <c r="B124">
        <v>100</v>
      </c>
      <c r="L124" t="s">
        <v>205</v>
      </c>
      <c r="M124">
        <v>0</v>
      </c>
      <c r="N124">
        <v>25</v>
      </c>
      <c r="O124">
        <v>4</v>
      </c>
      <c r="P124">
        <v>3</v>
      </c>
      <c r="Q124">
        <v>3</v>
      </c>
      <c r="R124">
        <v>3</v>
      </c>
      <c r="S124">
        <v>3</v>
      </c>
      <c r="T124">
        <v>1</v>
      </c>
      <c r="U124">
        <v>3</v>
      </c>
      <c r="V124">
        <v>1</v>
      </c>
      <c r="W124">
        <v>7</v>
      </c>
      <c r="X124" s="28"/>
      <c r="Y124" s="32" t="s">
        <v>545</v>
      </c>
    </row>
    <row r="125" spans="1:25" ht="12.75">
      <c r="A125" t="s">
        <v>1049</v>
      </c>
      <c r="B125">
        <v>120</v>
      </c>
      <c r="L125" t="s">
        <v>330</v>
      </c>
      <c r="M125">
        <v>0</v>
      </c>
      <c r="N125">
        <v>30</v>
      </c>
      <c r="O125">
        <v>4</v>
      </c>
      <c r="P125">
        <v>3</v>
      </c>
      <c r="Q125">
        <v>3</v>
      </c>
      <c r="R125">
        <v>3</v>
      </c>
      <c r="S125">
        <v>3</v>
      </c>
      <c r="T125">
        <v>1</v>
      </c>
      <c r="U125">
        <v>3</v>
      </c>
      <c r="V125">
        <v>1</v>
      </c>
      <c r="W125">
        <v>7</v>
      </c>
      <c r="X125" s="28" t="s">
        <v>333</v>
      </c>
      <c r="Y125" s="32" t="s">
        <v>546</v>
      </c>
    </row>
    <row r="126" spans="1:24" ht="12.75">
      <c r="A126" t="s">
        <v>63</v>
      </c>
      <c r="B126">
        <v>40</v>
      </c>
      <c r="X126" s="28"/>
    </row>
    <row r="127" spans="1:26" ht="12.75">
      <c r="A127" t="s">
        <v>64</v>
      </c>
      <c r="B127">
        <v>12</v>
      </c>
      <c r="L127" s="21" t="s">
        <v>334</v>
      </c>
      <c r="M127" s="21">
        <v>20</v>
      </c>
      <c r="N127" s="21">
        <v>80</v>
      </c>
      <c r="O127" s="21">
        <v>4</v>
      </c>
      <c r="P127" s="21">
        <v>4</v>
      </c>
      <c r="Q127" s="21">
        <v>3</v>
      </c>
      <c r="R127" s="21">
        <v>4</v>
      </c>
      <c r="S127" s="21">
        <v>3</v>
      </c>
      <c r="T127" s="21">
        <v>1</v>
      </c>
      <c r="U127" s="21">
        <v>4</v>
      </c>
      <c r="V127" s="21">
        <v>1</v>
      </c>
      <c r="W127" s="21">
        <v>8</v>
      </c>
      <c r="X127" s="29" t="s">
        <v>339</v>
      </c>
      <c r="Y127" s="32" t="s">
        <v>604</v>
      </c>
      <c r="Z127" t="s">
        <v>848</v>
      </c>
    </row>
    <row r="128" spans="1:26" ht="12.75">
      <c r="A128" t="s">
        <v>1184</v>
      </c>
      <c r="B128">
        <v>40</v>
      </c>
      <c r="L128" s="18" t="s">
        <v>335</v>
      </c>
      <c r="M128" s="18">
        <v>8</v>
      </c>
      <c r="N128" s="18">
        <v>50</v>
      </c>
      <c r="O128" s="18">
        <v>4</v>
      </c>
      <c r="P128" s="18">
        <v>3</v>
      </c>
      <c r="Q128" s="18">
        <v>3</v>
      </c>
      <c r="R128" s="18">
        <v>3</v>
      </c>
      <c r="S128" s="18">
        <v>3</v>
      </c>
      <c r="T128" s="18">
        <v>1</v>
      </c>
      <c r="U128" s="18">
        <v>3</v>
      </c>
      <c r="V128" s="18">
        <v>1</v>
      </c>
      <c r="W128" s="18">
        <v>7</v>
      </c>
      <c r="X128" s="30" t="s">
        <v>340</v>
      </c>
      <c r="Y128" s="32" t="s">
        <v>604</v>
      </c>
      <c r="Z128" t="s">
        <v>804</v>
      </c>
    </row>
    <row r="129" spans="1:26" ht="12.75">
      <c r="A129" t="s">
        <v>438</v>
      </c>
      <c r="B129">
        <v>25</v>
      </c>
      <c r="L129" s="18" t="s">
        <v>336</v>
      </c>
      <c r="M129" s="18">
        <v>0</v>
      </c>
      <c r="N129" s="18">
        <v>15</v>
      </c>
      <c r="O129" s="18">
        <v>4</v>
      </c>
      <c r="P129" s="18">
        <v>2</v>
      </c>
      <c r="Q129" s="18">
        <v>2</v>
      </c>
      <c r="R129" s="18">
        <v>3</v>
      </c>
      <c r="S129" s="18">
        <v>3</v>
      </c>
      <c r="T129" s="18">
        <v>1</v>
      </c>
      <c r="U129" s="18">
        <v>3</v>
      </c>
      <c r="V129" s="18">
        <v>1</v>
      </c>
      <c r="W129" s="18">
        <v>6</v>
      </c>
      <c r="X129" s="30"/>
      <c r="Y129" s="32" t="s">
        <v>605</v>
      </c>
      <c r="Z129" t="s">
        <v>713</v>
      </c>
    </row>
    <row r="130" spans="1:25" ht="12.75">
      <c r="A130" t="s">
        <v>1051</v>
      </c>
      <c r="B130">
        <v>35</v>
      </c>
      <c r="L130" t="s">
        <v>337</v>
      </c>
      <c r="M130">
        <v>0</v>
      </c>
      <c r="N130">
        <v>25</v>
      </c>
      <c r="O130">
        <v>4</v>
      </c>
      <c r="P130">
        <v>3</v>
      </c>
      <c r="Q130">
        <v>3</v>
      </c>
      <c r="R130">
        <v>3</v>
      </c>
      <c r="S130">
        <v>3</v>
      </c>
      <c r="T130">
        <v>1</v>
      </c>
      <c r="U130">
        <v>3</v>
      </c>
      <c r="V130">
        <v>1</v>
      </c>
      <c r="W130">
        <v>7</v>
      </c>
      <c r="X130" s="28"/>
      <c r="Y130" s="32" t="s">
        <v>606</v>
      </c>
    </row>
    <row r="131" spans="1:25" ht="12.75">
      <c r="A131" t="s">
        <v>1052</v>
      </c>
      <c r="B131">
        <v>30</v>
      </c>
      <c r="L131" t="s">
        <v>338</v>
      </c>
      <c r="M131">
        <v>0</v>
      </c>
      <c r="N131">
        <v>20</v>
      </c>
      <c r="O131">
        <v>4</v>
      </c>
      <c r="P131">
        <v>3</v>
      </c>
      <c r="Q131">
        <v>3</v>
      </c>
      <c r="R131">
        <v>3</v>
      </c>
      <c r="S131">
        <v>3</v>
      </c>
      <c r="T131">
        <v>1</v>
      </c>
      <c r="U131">
        <v>3</v>
      </c>
      <c r="V131">
        <v>1</v>
      </c>
      <c r="W131">
        <v>6</v>
      </c>
      <c r="X131" s="28"/>
      <c r="Y131" s="32" t="s">
        <v>607</v>
      </c>
    </row>
    <row r="132" spans="1:24" ht="12.75">
      <c r="A132" t="s">
        <v>408</v>
      </c>
      <c r="B132">
        <v>200</v>
      </c>
      <c r="X132" s="28"/>
    </row>
    <row r="133" spans="1:26" ht="12.75">
      <c r="A133" t="s">
        <v>958</v>
      </c>
      <c r="B133">
        <v>20</v>
      </c>
      <c r="L133" s="21" t="s">
        <v>343</v>
      </c>
      <c r="M133" s="21">
        <v>20</v>
      </c>
      <c r="N133" s="21">
        <v>70</v>
      </c>
      <c r="O133" s="21">
        <v>5</v>
      </c>
      <c r="P133" s="21">
        <v>5</v>
      </c>
      <c r="Q133" s="21">
        <v>4</v>
      </c>
      <c r="R133" s="21">
        <v>3</v>
      </c>
      <c r="S133" s="21">
        <v>3</v>
      </c>
      <c r="T133" s="21">
        <v>1</v>
      </c>
      <c r="U133" s="21">
        <v>6</v>
      </c>
      <c r="V133" s="21">
        <v>1</v>
      </c>
      <c r="W133" s="21">
        <v>9</v>
      </c>
      <c r="X133" s="29" t="s">
        <v>119</v>
      </c>
      <c r="Y133" s="32" t="s">
        <v>611</v>
      </c>
      <c r="Z133" t="s">
        <v>851</v>
      </c>
    </row>
    <row r="134" spans="1:26" ht="12.75">
      <c r="A134" t="s">
        <v>1029</v>
      </c>
      <c r="B134">
        <v>4</v>
      </c>
      <c r="L134" s="18" t="s">
        <v>344</v>
      </c>
      <c r="M134" s="18">
        <v>8</v>
      </c>
      <c r="N134" s="18">
        <v>45</v>
      </c>
      <c r="O134" s="18">
        <v>5</v>
      </c>
      <c r="P134" s="18">
        <v>4</v>
      </c>
      <c r="Q134" s="18">
        <v>4</v>
      </c>
      <c r="R134" s="18">
        <v>3</v>
      </c>
      <c r="S134" s="18">
        <v>3</v>
      </c>
      <c r="T134" s="18">
        <v>1</v>
      </c>
      <c r="U134" s="18">
        <v>6</v>
      </c>
      <c r="V134" s="18">
        <v>1</v>
      </c>
      <c r="W134" s="18">
        <v>8</v>
      </c>
      <c r="X134" s="30" t="s">
        <v>349</v>
      </c>
      <c r="Y134" s="32" t="s">
        <v>611</v>
      </c>
      <c r="Z134" t="s">
        <v>804</v>
      </c>
    </row>
    <row r="135" spans="1:26" ht="12.75">
      <c r="A135" t="s">
        <v>65</v>
      </c>
      <c r="B135">
        <v>90</v>
      </c>
      <c r="L135" s="18" t="s">
        <v>852</v>
      </c>
      <c r="M135" s="18">
        <v>12</v>
      </c>
      <c r="N135" s="18">
        <v>40</v>
      </c>
      <c r="O135" s="18">
        <v>5</v>
      </c>
      <c r="P135" s="18">
        <v>5</v>
      </c>
      <c r="Q135" s="18">
        <v>4</v>
      </c>
      <c r="R135" s="18">
        <v>3</v>
      </c>
      <c r="S135" s="18">
        <v>3</v>
      </c>
      <c r="T135" s="18">
        <v>1</v>
      </c>
      <c r="U135" s="18">
        <v>6</v>
      </c>
      <c r="V135" s="18">
        <v>1</v>
      </c>
      <c r="W135" s="18">
        <v>8</v>
      </c>
      <c r="X135" s="30" t="s">
        <v>348</v>
      </c>
      <c r="Y135" s="32" t="s">
        <v>611</v>
      </c>
      <c r="Z135" t="s">
        <v>804</v>
      </c>
    </row>
    <row r="136" spans="1:26" ht="12.75">
      <c r="A136" t="s">
        <v>671</v>
      </c>
      <c r="B136">
        <v>95</v>
      </c>
      <c r="L136" s="18" t="s">
        <v>350</v>
      </c>
      <c r="M136" s="18">
        <v>12</v>
      </c>
      <c r="N136" s="18">
        <v>55</v>
      </c>
      <c r="O136" s="18">
        <v>5</v>
      </c>
      <c r="P136" s="18">
        <v>4</v>
      </c>
      <c r="Q136" s="18">
        <v>4</v>
      </c>
      <c r="R136" s="18">
        <v>3</v>
      </c>
      <c r="S136" s="18">
        <v>3</v>
      </c>
      <c r="T136" s="18">
        <v>1</v>
      </c>
      <c r="U136" s="18">
        <v>6</v>
      </c>
      <c r="V136" s="18">
        <v>1</v>
      </c>
      <c r="W136" s="18">
        <v>8</v>
      </c>
      <c r="X136" s="30" t="s">
        <v>120</v>
      </c>
      <c r="Y136" s="32" t="s">
        <v>611</v>
      </c>
      <c r="Z136" t="s">
        <v>793</v>
      </c>
    </row>
    <row r="137" spans="1:25" ht="12.75">
      <c r="A137" t="s">
        <v>1033</v>
      </c>
      <c r="B137">
        <v>60</v>
      </c>
      <c r="L137" s="20" t="s">
        <v>345</v>
      </c>
      <c r="M137">
        <v>0</v>
      </c>
      <c r="N137">
        <v>35</v>
      </c>
      <c r="O137">
        <v>5</v>
      </c>
      <c r="P137">
        <v>4</v>
      </c>
      <c r="Q137">
        <v>4</v>
      </c>
      <c r="R137">
        <v>3</v>
      </c>
      <c r="S137">
        <v>3</v>
      </c>
      <c r="T137">
        <v>1</v>
      </c>
      <c r="U137">
        <v>6</v>
      </c>
      <c r="V137">
        <v>1</v>
      </c>
      <c r="W137">
        <v>8</v>
      </c>
      <c r="X137" s="28"/>
      <c r="Y137" s="32" t="s">
        <v>614</v>
      </c>
    </row>
    <row r="138" spans="1:25" ht="12.75">
      <c r="A138" t="s">
        <v>1034</v>
      </c>
      <c r="B138">
        <v>65</v>
      </c>
      <c r="L138" s="20" t="s">
        <v>346</v>
      </c>
      <c r="M138">
        <v>0</v>
      </c>
      <c r="N138">
        <v>30</v>
      </c>
      <c r="O138">
        <v>5</v>
      </c>
      <c r="P138">
        <v>3</v>
      </c>
      <c r="Q138">
        <v>3</v>
      </c>
      <c r="R138">
        <v>3</v>
      </c>
      <c r="S138">
        <v>3</v>
      </c>
      <c r="T138">
        <v>1</v>
      </c>
      <c r="U138">
        <v>5</v>
      </c>
      <c r="V138">
        <v>1</v>
      </c>
      <c r="W138">
        <v>8</v>
      </c>
      <c r="X138" s="28" t="s">
        <v>351</v>
      </c>
      <c r="Y138" s="32" t="s">
        <v>612</v>
      </c>
    </row>
    <row r="139" spans="1:25" ht="12.75">
      <c r="A139" t="s">
        <v>1028</v>
      </c>
      <c r="B139">
        <v>45</v>
      </c>
      <c r="L139" s="20" t="s">
        <v>347</v>
      </c>
      <c r="M139">
        <v>0</v>
      </c>
      <c r="N139">
        <v>30</v>
      </c>
      <c r="O139">
        <v>6</v>
      </c>
      <c r="P139">
        <v>3</v>
      </c>
      <c r="Q139">
        <v>0</v>
      </c>
      <c r="R139">
        <v>4</v>
      </c>
      <c r="S139">
        <v>4</v>
      </c>
      <c r="T139">
        <v>1</v>
      </c>
      <c r="U139">
        <v>1</v>
      </c>
      <c r="V139">
        <v>1</v>
      </c>
      <c r="W139">
        <v>4</v>
      </c>
      <c r="X139" s="28" t="s">
        <v>352</v>
      </c>
      <c r="Y139" t="s">
        <v>430</v>
      </c>
    </row>
    <row r="140" spans="1:24" ht="12.75">
      <c r="A140" t="s">
        <v>1035</v>
      </c>
      <c r="B140">
        <v>30</v>
      </c>
      <c r="X140" s="28"/>
    </row>
    <row r="141" spans="1:26" ht="12.75">
      <c r="A141" t="s">
        <v>670</v>
      </c>
      <c r="B141">
        <v>30</v>
      </c>
      <c r="L141" s="21" t="s">
        <v>356</v>
      </c>
      <c r="M141" s="21">
        <v>20</v>
      </c>
      <c r="N141" s="21">
        <v>60</v>
      </c>
      <c r="O141" s="21">
        <v>6</v>
      </c>
      <c r="P141" s="21">
        <v>3</v>
      </c>
      <c r="Q141" s="21">
        <v>4</v>
      </c>
      <c r="R141" s="21">
        <v>3</v>
      </c>
      <c r="S141" s="21">
        <v>3</v>
      </c>
      <c r="T141" s="21">
        <v>1</v>
      </c>
      <c r="U141" s="21">
        <v>5</v>
      </c>
      <c r="V141" s="21">
        <v>1</v>
      </c>
      <c r="W141" s="21">
        <v>7</v>
      </c>
      <c r="X141" s="29" t="s">
        <v>181</v>
      </c>
      <c r="Y141" t="s">
        <v>632</v>
      </c>
      <c r="Z141" t="s">
        <v>793</v>
      </c>
    </row>
    <row r="142" spans="1:26" ht="12.75">
      <c r="A142" t="s">
        <v>1032</v>
      </c>
      <c r="B142">
        <v>20</v>
      </c>
      <c r="L142" s="18" t="s">
        <v>357</v>
      </c>
      <c r="M142" s="18">
        <v>11</v>
      </c>
      <c r="N142" s="18">
        <v>60</v>
      </c>
      <c r="O142" s="18">
        <v>4</v>
      </c>
      <c r="P142" s="18">
        <v>4</v>
      </c>
      <c r="Q142" s="18">
        <v>0</v>
      </c>
      <c r="R142" s="18">
        <v>4</v>
      </c>
      <c r="S142" s="18">
        <v>4</v>
      </c>
      <c r="T142" s="18">
        <v>1</v>
      </c>
      <c r="U142" s="18">
        <v>2</v>
      </c>
      <c r="V142" s="18" t="s">
        <v>362</v>
      </c>
      <c r="W142" s="18">
        <v>8</v>
      </c>
      <c r="X142" s="30"/>
      <c r="Y142" t="s">
        <v>626</v>
      </c>
      <c r="Z142" t="s">
        <v>713</v>
      </c>
    </row>
    <row r="143" spans="1:26" ht="12.75">
      <c r="A143" t="s">
        <v>669</v>
      </c>
      <c r="B143">
        <v>30</v>
      </c>
      <c r="L143" s="18" t="s">
        <v>358</v>
      </c>
      <c r="M143" s="18">
        <v>8</v>
      </c>
      <c r="N143" s="18">
        <v>30</v>
      </c>
      <c r="O143" s="18">
        <v>6</v>
      </c>
      <c r="P143" s="18">
        <v>3</v>
      </c>
      <c r="Q143" s="18">
        <v>3</v>
      </c>
      <c r="R143" s="18">
        <v>3</v>
      </c>
      <c r="S143" s="18">
        <v>2</v>
      </c>
      <c r="T143" s="18">
        <v>1</v>
      </c>
      <c r="U143" s="18">
        <v>4</v>
      </c>
      <c r="V143" s="18">
        <v>1</v>
      </c>
      <c r="W143" s="18">
        <v>7</v>
      </c>
      <c r="X143" s="30"/>
      <c r="Y143" t="s">
        <v>629</v>
      </c>
      <c r="Z143" t="s">
        <v>593</v>
      </c>
    </row>
    <row r="144" spans="1:25" ht="12.75">
      <c r="A144" t="s">
        <v>1030</v>
      </c>
      <c r="B144">
        <v>20</v>
      </c>
      <c r="L144" t="s">
        <v>359</v>
      </c>
      <c r="M144">
        <v>0</v>
      </c>
      <c r="N144">
        <v>20</v>
      </c>
      <c r="O144">
        <v>6</v>
      </c>
      <c r="P144">
        <v>2</v>
      </c>
      <c r="Q144">
        <v>3</v>
      </c>
      <c r="R144">
        <v>3</v>
      </c>
      <c r="S144">
        <v>2</v>
      </c>
      <c r="T144">
        <v>1</v>
      </c>
      <c r="U144">
        <v>4</v>
      </c>
      <c r="V144">
        <v>1</v>
      </c>
      <c r="W144">
        <v>6</v>
      </c>
      <c r="X144" s="28"/>
      <c r="Y144" t="s">
        <v>633</v>
      </c>
    </row>
    <row r="145" spans="1:25" ht="12.75">
      <c r="A145" t="s">
        <v>66</v>
      </c>
      <c r="B145">
        <v>5</v>
      </c>
      <c r="L145" t="s">
        <v>360</v>
      </c>
      <c r="M145">
        <v>0</v>
      </c>
      <c r="N145">
        <v>40</v>
      </c>
      <c r="O145">
        <v>4</v>
      </c>
      <c r="P145">
        <v>3</v>
      </c>
      <c r="Q145">
        <v>0</v>
      </c>
      <c r="R145">
        <v>4</v>
      </c>
      <c r="S145">
        <v>4</v>
      </c>
      <c r="T145">
        <v>1</v>
      </c>
      <c r="U145">
        <v>1</v>
      </c>
      <c r="V145" t="s">
        <v>362</v>
      </c>
      <c r="W145">
        <v>7</v>
      </c>
      <c r="X145" s="28"/>
      <c r="Y145" t="s">
        <v>864</v>
      </c>
    </row>
    <row r="146" spans="1:24" ht="12.75">
      <c r="A146" t="s">
        <v>1313</v>
      </c>
      <c r="B146">
        <v>4</v>
      </c>
      <c r="X146" s="28"/>
    </row>
    <row r="147" spans="1:25" ht="12.75">
      <c r="A147" t="s">
        <v>1312</v>
      </c>
      <c r="B147">
        <v>20</v>
      </c>
      <c r="L147" t="s">
        <v>361</v>
      </c>
      <c r="M147">
        <v>0</v>
      </c>
      <c r="N147">
        <v>200</v>
      </c>
      <c r="O147">
        <v>6</v>
      </c>
      <c r="P147">
        <v>3</v>
      </c>
      <c r="Q147">
        <v>0</v>
      </c>
      <c r="R147">
        <v>5</v>
      </c>
      <c r="S147">
        <v>4</v>
      </c>
      <c r="T147">
        <v>3</v>
      </c>
      <c r="U147">
        <v>1</v>
      </c>
      <c r="V147">
        <v>3</v>
      </c>
      <c r="W147">
        <v>8</v>
      </c>
      <c r="X147" s="28" t="s">
        <v>478</v>
      </c>
      <c r="Y147" t="s">
        <v>634</v>
      </c>
    </row>
    <row r="148" spans="1:24" ht="12.75">
      <c r="A148" t="s">
        <v>1209</v>
      </c>
      <c r="B148">
        <v>20</v>
      </c>
      <c r="X148" s="28"/>
    </row>
    <row r="149" spans="1:26" ht="12.75">
      <c r="A149" t="s">
        <v>520</v>
      </c>
      <c r="B149">
        <v>40</v>
      </c>
      <c r="L149" s="21" t="s">
        <v>363</v>
      </c>
      <c r="M149" s="21">
        <v>20</v>
      </c>
      <c r="N149" s="21">
        <v>70</v>
      </c>
      <c r="O149" s="21">
        <v>4</v>
      </c>
      <c r="P149" s="21">
        <v>4</v>
      </c>
      <c r="Q149" s="21">
        <v>3</v>
      </c>
      <c r="R149" s="21">
        <v>4</v>
      </c>
      <c r="S149" s="21">
        <v>3</v>
      </c>
      <c r="T149" s="21">
        <v>1</v>
      </c>
      <c r="U149" s="21">
        <v>4</v>
      </c>
      <c r="V149" s="21">
        <v>2</v>
      </c>
      <c r="W149" s="21">
        <v>8</v>
      </c>
      <c r="X149" s="29" t="s">
        <v>119</v>
      </c>
      <c r="Y149" s="32" t="s">
        <v>640</v>
      </c>
      <c r="Z149" t="s">
        <v>803</v>
      </c>
    </row>
    <row r="150" spans="1:26" ht="12.75">
      <c r="A150" t="s">
        <v>519</v>
      </c>
      <c r="B150">
        <v>20</v>
      </c>
      <c r="L150" s="18" t="s">
        <v>364</v>
      </c>
      <c r="M150" s="18">
        <v>11</v>
      </c>
      <c r="N150" s="18">
        <v>50</v>
      </c>
      <c r="O150" s="18">
        <v>4</v>
      </c>
      <c r="P150" s="18">
        <v>4</v>
      </c>
      <c r="Q150" s="18">
        <v>3</v>
      </c>
      <c r="R150" s="18">
        <v>4</v>
      </c>
      <c r="S150" s="18">
        <v>3</v>
      </c>
      <c r="T150" s="18">
        <v>1</v>
      </c>
      <c r="U150" s="18">
        <v>3</v>
      </c>
      <c r="V150" s="18">
        <v>1</v>
      </c>
      <c r="W150" s="18">
        <v>7</v>
      </c>
      <c r="X150" s="30" t="s">
        <v>368</v>
      </c>
      <c r="Y150" s="32" t="s">
        <v>639</v>
      </c>
      <c r="Z150" t="s">
        <v>713</v>
      </c>
    </row>
    <row r="151" spans="1:26" ht="12.75">
      <c r="A151" t="s">
        <v>522</v>
      </c>
      <c r="B151">
        <v>20</v>
      </c>
      <c r="L151" s="18" t="s">
        <v>1128</v>
      </c>
      <c r="M151" s="18">
        <v>11</v>
      </c>
      <c r="N151" s="18">
        <v>90</v>
      </c>
      <c r="O151" s="18">
        <v>6</v>
      </c>
      <c r="P151" s="18">
        <v>4</v>
      </c>
      <c r="Q151" s="18">
        <v>0</v>
      </c>
      <c r="R151" s="18">
        <v>4</v>
      </c>
      <c r="S151" s="18">
        <v>4</v>
      </c>
      <c r="T151" s="18">
        <v>2</v>
      </c>
      <c r="U151" s="18">
        <v>4</v>
      </c>
      <c r="V151" s="18">
        <v>2</v>
      </c>
      <c r="W151" s="18">
        <v>7</v>
      </c>
      <c r="X151" s="30" t="s">
        <v>369</v>
      </c>
      <c r="Y151" t="s">
        <v>430</v>
      </c>
      <c r="Z151" t="s">
        <v>803</v>
      </c>
    </row>
    <row r="152" spans="1:26" ht="12.75">
      <c r="A152" t="s">
        <v>518</v>
      </c>
      <c r="B152">
        <v>40</v>
      </c>
      <c r="L152" s="18" t="s">
        <v>656</v>
      </c>
      <c r="M152" s="18">
        <v>0</v>
      </c>
      <c r="N152" s="18">
        <v>15</v>
      </c>
      <c r="O152" s="18">
        <v>4</v>
      </c>
      <c r="P152" s="18">
        <v>3</v>
      </c>
      <c r="Q152" s="18">
        <v>2</v>
      </c>
      <c r="R152" s="18">
        <v>3</v>
      </c>
      <c r="S152" s="18">
        <v>3</v>
      </c>
      <c r="T152" s="18">
        <v>1</v>
      </c>
      <c r="U152" s="18">
        <v>2</v>
      </c>
      <c r="V152" s="18">
        <v>1</v>
      </c>
      <c r="W152" s="18">
        <v>6</v>
      </c>
      <c r="X152" s="30"/>
      <c r="Y152" s="32" t="s">
        <v>640</v>
      </c>
      <c r="Z152" t="s">
        <v>803</v>
      </c>
    </row>
    <row r="153" spans="1:25" ht="12.75">
      <c r="A153" t="s">
        <v>860</v>
      </c>
      <c r="B153">
        <v>0</v>
      </c>
      <c r="L153" t="s">
        <v>367</v>
      </c>
      <c r="M153">
        <v>0</v>
      </c>
      <c r="N153">
        <v>25</v>
      </c>
      <c r="O153">
        <v>4</v>
      </c>
      <c r="P153">
        <v>3</v>
      </c>
      <c r="Q153">
        <v>3</v>
      </c>
      <c r="R153">
        <v>3</v>
      </c>
      <c r="S153">
        <v>3</v>
      </c>
      <c r="T153">
        <v>1</v>
      </c>
      <c r="U153">
        <v>3</v>
      </c>
      <c r="V153">
        <v>1</v>
      </c>
      <c r="W153">
        <v>7</v>
      </c>
      <c r="X153" s="28"/>
      <c r="Y153" t="s">
        <v>1129</v>
      </c>
    </row>
    <row r="154" spans="1:25" ht="12.75">
      <c r="A154" t="s">
        <v>1132</v>
      </c>
      <c r="B154">
        <v>5</v>
      </c>
      <c r="L154" t="s">
        <v>366</v>
      </c>
      <c r="M154">
        <v>0</v>
      </c>
      <c r="N154">
        <v>15</v>
      </c>
      <c r="O154">
        <v>9</v>
      </c>
      <c r="P154">
        <v>3</v>
      </c>
      <c r="Q154">
        <v>0</v>
      </c>
      <c r="R154">
        <v>3</v>
      </c>
      <c r="S154">
        <v>3</v>
      </c>
      <c r="T154">
        <v>1</v>
      </c>
      <c r="U154">
        <v>3</v>
      </c>
      <c r="V154">
        <v>1</v>
      </c>
      <c r="W154">
        <v>5</v>
      </c>
      <c r="X154" s="28" t="s">
        <v>370</v>
      </c>
      <c r="Y154" t="s">
        <v>430</v>
      </c>
    </row>
    <row r="155" spans="1:25" ht="12.75">
      <c r="A155" t="s">
        <v>67</v>
      </c>
      <c r="B155">
        <v>40</v>
      </c>
      <c r="L155" t="s">
        <v>365</v>
      </c>
      <c r="M155">
        <v>0</v>
      </c>
      <c r="N155">
        <v>25</v>
      </c>
      <c r="O155">
        <v>4</v>
      </c>
      <c r="P155">
        <v>4</v>
      </c>
      <c r="Q155">
        <v>3</v>
      </c>
      <c r="R155">
        <v>3</v>
      </c>
      <c r="S155">
        <v>3</v>
      </c>
      <c r="T155">
        <v>1</v>
      </c>
      <c r="U155">
        <v>3</v>
      </c>
      <c r="V155">
        <v>1</v>
      </c>
      <c r="W155">
        <v>7</v>
      </c>
      <c r="X155" s="28"/>
      <c r="Y155" t="s">
        <v>641</v>
      </c>
    </row>
    <row r="156" spans="1:24" ht="12.75">
      <c r="A156" t="s">
        <v>68</v>
      </c>
      <c r="B156">
        <v>10</v>
      </c>
      <c r="X156" s="28"/>
    </row>
    <row r="157" spans="1:26" ht="12.75">
      <c r="A157" t="s">
        <v>69</v>
      </c>
      <c r="B157">
        <v>20</v>
      </c>
      <c r="L157" s="21" t="s">
        <v>371</v>
      </c>
      <c r="M157" s="21">
        <v>20</v>
      </c>
      <c r="N157" s="21">
        <v>60</v>
      </c>
      <c r="O157" s="21">
        <v>4</v>
      </c>
      <c r="P157" s="21">
        <v>4</v>
      </c>
      <c r="Q157" s="21">
        <v>4</v>
      </c>
      <c r="R157" s="21">
        <v>3</v>
      </c>
      <c r="S157" s="21">
        <v>3</v>
      </c>
      <c r="T157" s="21">
        <v>1</v>
      </c>
      <c r="U157" s="21">
        <v>4</v>
      </c>
      <c r="V157" s="21">
        <v>1</v>
      </c>
      <c r="W157" s="21">
        <v>8</v>
      </c>
      <c r="X157" s="29" t="s">
        <v>119</v>
      </c>
      <c r="Y157" t="s">
        <v>560</v>
      </c>
      <c r="Z157" t="s">
        <v>795</v>
      </c>
    </row>
    <row r="158" spans="1:26" ht="12.75">
      <c r="A158" t="s">
        <v>595</v>
      </c>
      <c r="B158">
        <v>25</v>
      </c>
      <c r="L158" s="18" t="s">
        <v>867</v>
      </c>
      <c r="M158" s="18">
        <v>8</v>
      </c>
      <c r="N158" s="18">
        <v>35</v>
      </c>
      <c r="O158" s="18">
        <v>4</v>
      </c>
      <c r="P158" s="18">
        <v>4</v>
      </c>
      <c r="Q158" s="18">
        <v>3</v>
      </c>
      <c r="R158" s="18">
        <v>3</v>
      </c>
      <c r="S158" s="18">
        <v>3</v>
      </c>
      <c r="T158" s="18">
        <v>1</v>
      </c>
      <c r="U158" s="18">
        <v>3</v>
      </c>
      <c r="V158" s="18">
        <v>1</v>
      </c>
      <c r="W158" s="18">
        <v>7</v>
      </c>
      <c r="X158" s="30"/>
      <c r="Y158" t="s">
        <v>560</v>
      </c>
      <c r="Z158" t="s">
        <v>806</v>
      </c>
    </row>
    <row r="159" spans="1:26" ht="12.75">
      <c r="A159" t="s">
        <v>625</v>
      </c>
      <c r="B159">
        <v>75</v>
      </c>
      <c r="L159" s="18" t="s">
        <v>655</v>
      </c>
      <c r="M159" s="18">
        <v>0</v>
      </c>
      <c r="N159" s="18">
        <v>15</v>
      </c>
      <c r="O159" s="18">
        <v>4</v>
      </c>
      <c r="P159" s="18">
        <v>2</v>
      </c>
      <c r="Q159" s="18">
        <v>2</v>
      </c>
      <c r="R159" s="18">
        <v>3</v>
      </c>
      <c r="S159" s="18">
        <v>3</v>
      </c>
      <c r="T159" s="18">
        <v>1</v>
      </c>
      <c r="U159" s="18">
        <v>3</v>
      </c>
      <c r="V159" s="18">
        <v>1</v>
      </c>
      <c r="W159" s="18">
        <v>6</v>
      </c>
      <c r="X159" s="30"/>
      <c r="Y159" t="s">
        <v>560</v>
      </c>
      <c r="Z159" t="s">
        <v>866</v>
      </c>
    </row>
    <row r="160" spans="1:25" ht="12.75">
      <c r="A160" t="s">
        <v>1360</v>
      </c>
      <c r="B160">
        <v>5</v>
      </c>
      <c r="L160" t="s">
        <v>372</v>
      </c>
      <c r="M160">
        <v>0</v>
      </c>
      <c r="N160">
        <v>25</v>
      </c>
      <c r="O160">
        <v>4</v>
      </c>
      <c r="P160">
        <v>3</v>
      </c>
      <c r="Q160">
        <v>3</v>
      </c>
      <c r="R160">
        <v>3</v>
      </c>
      <c r="S160">
        <v>3</v>
      </c>
      <c r="T160">
        <v>1</v>
      </c>
      <c r="U160">
        <v>3</v>
      </c>
      <c r="V160">
        <v>1</v>
      </c>
      <c r="W160">
        <v>7</v>
      </c>
      <c r="X160" s="28"/>
      <c r="Y160" t="s">
        <v>556</v>
      </c>
    </row>
    <row r="161" spans="1:25" ht="12.75">
      <c r="A161" t="s">
        <v>70</v>
      </c>
      <c r="B161">
        <v>15</v>
      </c>
      <c r="L161" t="s">
        <v>373</v>
      </c>
      <c r="M161">
        <v>0</v>
      </c>
      <c r="N161">
        <v>25</v>
      </c>
      <c r="O161">
        <v>4</v>
      </c>
      <c r="P161">
        <v>3</v>
      </c>
      <c r="Q161">
        <v>3</v>
      </c>
      <c r="R161">
        <v>3</v>
      </c>
      <c r="S161">
        <v>3</v>
      </c>
      <c r="T161">
        <v>1</v>
      </c>
      <c r="U161">
        <v>3</v>
      </c>
      <c r="V161">
        <v>1</v>
      </c>
      <c r="W161">
        <v>7</v>
      </c>
      <c r="X161" s="28" t="s">
        <v>376</v>
      </c>
      <c r="Y161" t="s">
        <v>566</v>
      </c>
    </row>
    <row r="162" spans="1:25" ht="12.75">
      <c r="A162" t="s">
        <v>71</v>
      </c>
      <c r="B162">
        <v>15</v>
      </c>
      <c r="L162" t="s">
        <v>374</v>
      </c>
      <c r="M162">
        <v>0</v>
      </c>
      <c r="N162">
        <v>32</v>
      </c>
      <c r="O162">
        <v>4</v>
      </c>
      <c r="P162">
        <v>3</v>
      </c>
      <c r="Q162">
        <v>3</v>
      </c>
      <c r="R162">
        <v>3</v>
      </c>
      <c r="S162">
        <v>3</v>
      </c>
      <c r="T162">
        <v>1</v>
      </c>
      <c r="U162">
        <v>3</v>
      </c>
      <c r="V162">
        <v>1</v>
      </c>
      <c r="W162">
        <v>7</v>
      </c>
      <c r="X162" s="28" t="s">
        <v>377</v>
      </c>
      <c r="Y162" t="s">
        <v>567</v>
      </c>
    </row>
    <row r="163" spans="1:25" ht="12.75">
      <c r="A163" t="s">
        <v>963</v>
      </c>
      <c r="B163">
        <v>20</v>
      </c>
      <c r="L163" t="s">
        <v>375</v>
      </c>
      <c r="M163">
        <v>0</v>
      </c>
      <c r="N163">
        <v>0</v>
      </c>
      <c r="O163">
        <v>4</v>
      </c>
      <c r="P163">
        <v>2</v>
      </c>
      <c r="Q163">
        <v>2</v>
      </c>
      <c r="R163">
        <v>3</v>
      </c>
      <c r="S163">
        <v>3</v>
      </c>
      <c r="T163">
        <v>1</v>
      </c>
      <c r="U163">
        <v>3</v>
      </c>
      <c r="V163">
        <v>1</v>
      </c>
      <c r="W163">
        <v>6</v>
      </c>
      <c r="X163" s="28" t="s">
        <v>378</v>
      </c>
      <c r="Y163" t="s">
        <v>561</v>
      </c>
    </row>
    <row r="164" spans="1:24" ht="12.75">
      <c r="A164" t="s">
        <v>964</v>
      </c>
      <c r="B164">
        <v>20</v>
      </c>
      <c r="X164" s="28"/>
    </row>
    <row r="165" spans="1:26" ht="12.75">
      <c r="A165" t="s">
        <v>72</v>
      </c>
      <c r="B165">
        <v>10</v>
      </c>
      <c r="L165" s="21" t="s">
        <v>379</v>
      </c>
      <c r="M165" s="21">
        <v>20</v>
      </c>
      <c r="N165" s="21">
        <v>80</v>
      </c>
      <c r="O165" s="21">
        <v>4</v>
      </c>
      <c r="P165" s="21">
        <v>4</v>
      </c>
      <c r="Q165" s="21">
        <v>3</v>
      </c>
      <c r="R165" s="21">
        <v>4</v>
      </c>
      <c r="S165" s="21">
        <v>4</v>
      </c>
      <c r="T165" s="21">
        <v>1</v>
      </c>
      <c r="U165" s="21">
        <v>4</v>
      </c>
      <c r="V165" s="21">
        <v>2</v>
      </c>
      <c r="W165" s="21">
        <v>8</v>
      </c>
      <c r="X165" s="29" t="s">
        <v>382</v>
      </c>
      <c r="Y165" s="32" t="s">
        <v>642</v>
      </c>
      <c r="Z165" t="s">
        <v>803</v>
      </c>
    </row>
    <row r="166" spans="1:26" ht="12.75">
      <c r="A166" t="s">
        <v>410</v>
      </c>
      <c r="B166">
        <v>3</v>
      </c>
      <c r="L166" s="18" t="s">
        <v>653</v>
      </c>
      <c r="M166" s="18">
        <v>8</v>
      </c>
      <c r="N166" s="18">
        <v>50</v>
      </c>
      <c r="O166" s="18">
        <v>3</v>
      </c>
      <c r="P166" s="18">
        <v>4</v>
      </c>
      <c r="Q166" s="18">
        <v>3</v>
      </c>
      <c r="R166" s="18">
        <v>3</v>
      </c>
      <c r="S166" s="18">
        <v>4</v>
      </c>
      <c r="T166" s="18">
        <v>1</v>
      </c>
      <c r="U166" s="18">
        <v>2</v>
      </c>
      <c r="V166" s="18">
        <v>1</v>
      </c>
      <c r="W166" s="18">
        <v>9</v>
      </c>
      <c r="X166" s="30" t="s">
        <v>383</v>
      </c>
      <c r="Y166" s="32" t="s">
        <v>652</v>
      </c>
      <c r="Z166" t="s">
        <v>713</v>
      </c>
    </row>
    <row r="167" spans="1:26" ht="12.75">
      <c r="A167" t="s">
        <v>474</v>
      </c>
      <c r="B167">
        <v>30</v>
      </c>
      <c r="L167" s="18" t="s">
        <v>654</v>
      </c>
      <c r="M167" s="18">
        <v>8</v>
      </c>
      <c r="N167" s="18">
        <v>35</v>
      </c>
      <c r="O167" s="18">
        <v>4</v>
      </c>
      <c r="P167" s="18">
        <v>4</v>
      </c>
      <c r="Q167" s="18">
        <v>3</v>
      </c>
      <c r="R167" s="18">
        <v>4</v>
      </c>
      <c r="S167" s="18">
        <v>3</v>
      </c>
      <c r="T167" s="18">
        <v>1</v>
      </c>
      <c r="U167" s="18">
        <v>4</v>
      </c>
      <c r="V167" s="18">
        <v>1</v>
      </c>
      <c r="W167" s="18">
        <v>7</v>
      </c>
      <c r="X167" s="30" t="s">
        <v>384</v>
      </c>
      <c r="Y167" s="32" t="s">
        <v>642</v>
      </c>
      <c r="Z167" t="s">
        <v>803</v>
      </c>
    </row>
    <row r="168" spans="1:25" ht="12.75">
      <c r="A168" t="s">
        <v>1053</v>
      </c>
      <c r="B168">
        <v>25</v>
      </c>
      <c r="L168" s="20" t="s">
        <v>380</v>
      </c>
      <c r="M168">
        <v>0</v>
      </c>
      <c r="N168">
        <v>165</v>
      </c>
      <c r="O168">
        <v>6</v>
      </c>
      <c r="P168">
        <v>3</v>
      </c>
      <c r="Q168">
        <v>2</v>
      </c>
      <c r="R168">
        <v>4</v>
      </c>
      <c r="S168">
        <v>4</v>
      </c>
      <c r="T168">
        <v>3</v>
      </c>
      <c r="U168">
        <v>3</v>
      </c>
      <c r="V168">
        <v>2</v>
      </c>
      <c r="W168">
        <v>7</v>
      </c>
      <c r="X168" s="28" t="s">
        <v>385</v>
      </c>
      <c r="Y168" s="32" t="s">
        <v>650</v>
      </c>
    </row>
    <row r="169" spans="1:25" ht="12.75">
      <c r="A169" t="s">
        <v>73</v>
      </c>
      <c r="B169">
        <v>10</v>
      </c>
      <c r="L169" t="s">
        <v>381</v>
      </c>
      <c r="M169">
        <v>0</v>
      </c>
      <c r="N169">
        <v>35</v>
      </c>
      <c r="O169">
        <v>4</v>
      </c>
      <c r="P169">
        <v>3</v>
      </c>
      <c r="Q169">
        <v>3</v>
      </c>
      <c r="R169">
        <v>3</v>
      </c>
      <c r="S169">
        <v>3</v>
      </c>
      <c r="T169">
        <v>1</v>
      </c>
      <c r="U169">
        <v>3</v>
      </c>
      <c r="V169">
        <v>1</v>
      </c>
      <c r="W169">
        <v>7</v>
      </c>
      <c r="X169" s="28" t="s">
        <v>386</v>
      </c>
      <c r="Y169" s="32" t="s">
        <v>649</v>
      </c>
    </row>
    <row r="170" spans="1:25" ht="12.75">
      <c r="A170" t="s">
        <v>1054</v>
      </c>
      <c r="B170">
        <v>25</v>
      </c>
      <c r="L170" t="s">
        <v>210</v>
      </c>
      <c r="M170">
        <v>0</v>
      </c>
      <c r="N170">
        <v>35</v>
      </c>
      <c r="O170">
        <v>4</v>
      </c>
      <c r="P170">
        <v>4</v>
      </c>
      <c r="Q170">
        <v>3</v>
      </c>
      <c r="R170">
        <v>3</v>
      </c>
      <c r="S170">
        <v>3</v>
      </c>
      <c r="T170">
        <v>1</v>
      </c>
      <c r="U170">
        <v>3</v>
      </c>
      <c r="V170">
        <v>1</v>
      </c>
      <c r="W170">
        <v>7</v>
      </c>
      <c r="X170" s="28" t="s">
        <v>384</v>
      </c>
      <c r="Y170" s="32" t="s">
        <v>642</v>
      </c>
    </row>
    <row r="171" spans="1:24" ht="12.75">
      <c r="A171" t="s">
        <v>1154</v>
      </c>
      <c r="B171">
        <v>15</v>
      </c>
      <c r="X171" s="28"/>
    </row>
    <row r="172" spans="1:26" ht="12.75">
      <c r="A172" t="s">
        <v>1058</v>
      </c>
      <c r="B172">
        <v>20</v>
      </c>
      <c r="L172" s="21" t="s">
        <v>387</v>
      </c>
      <c r="M172" s="21">
        <v>20</v>
      </c>
      <c r="N172" s="21">
        <v>70</v>
      </c>
      <c r="O172" s="21">
        <v>5</v>
      </c>
      <c r="P172" s="21">
        <v>5</v>
      </c>
      <c r="Q172" s="21">
        <v>5</v>
      </c>
      <c r="R172" s="21">
        <v>3</v>
      </c>
      <c r="S172" s="21">
        <v>3</v>
      </c>
      <c r="T172" s="21">
        <v>1</v>
      </c>
      <c r="U172" s="21">
        <v>6</v>
      </c>
      <c r="V172" s="21">
        <v>1</v>
      </c>
      <c r="W172" s="21">
        <v>9</v>
      </c>
      <c r="X172" s="29" t="s">
        <v>119</v>
      </c>
      <c r="Y172" s="32" t="s">
        <v>662</v>
      </c>
      <c r="Z172" t="s">
        <v>851</v>
      </c>
    </row>
    <row r="173" spans="1:26" ht="12.75">
      <c r="A173" t="s">
        <v>1057</v>
      </c>
      <c r="B173">
        <v>20</v>
      </c>
      <c r="L173" s="18" t="s">
        <v>388</v>
      </c>
      <c r="M173" s="18">
        <v>12</v>
      </c>
      <c r="N173" s="18">
        <v>45</v>
      </c>
      <c r="O173" s="18">
        <v>5</v>
      </c>
      <c r="P173" s="18">
        <v>5</v>
      </c>
      <c r="Q173" s="18">
        <v>4</v>
      </c>
      <c r="R173" s="18">
        <v>3</v>
      </c>
      <c r="S173" s="18">
        <v>3</v>
      </c>
      <c r="T173" s="18">
        <v>1</v>
      </c>
      <c r="U173" s="18">
        <v>6</v>
      </c>
      <c r="V173" s="18">
        <v>1</v>
      </c>
      <c r="W173" s="18">
        <v>8</v>
      </c>
      <c r="X173" s="30"/>
      <c r="Y173" s="32" t="s">
        <v>662</v>
      </c>
      <c r="Z173" t="s">
        <v>870</v>
      </c>
    </row>
    <row r="174" spans="1:26" ht="12.75">
      <c r="A174" t="s">
        <v>1055</v>
      </c>
      <c r="B174">
        <v>20</v>
      </c>
      <c r="L174" s="18" t="s">
        <v>389</v>
      </c>
      <c r="M174" s="18">
        <v>12</v>
      </c>
      <c r="N174" s="18">
        <v>55</v>
      </c>
      <c r="O174" s="18">
        <v>5</v>
      </c>
      <c r="P174" s="18">
        <v>4</v>
      </c>
      <c r="Q174" s="18">
        <v>4</v>
      </c>
      <c r="R174" s="18">
        <v>3</v>
      </c>
      <c r="S174" s="18">
        <v>3</v>
      </c>
      <c r="T174" s="18">
        <v>1</v>
      </c>
      <c r="U174" s="18">
        <v>6</v>
      </c>
      <c r="V174" s="18">
        <v>1</v>
      </c>
      <c r="W174" s="18">
        <v>8</v>
      </c>
      <c r="X174" s="30" t="s">
        <v>120</v>
      </c>
      <c r="Y174" s="32" t="s">
        <v>662</v>
      </c>
      <c r="Z174" t="s">
        <v>871</v>
      </c>
    </row>
    <row r="175" spans="1:25" ht="12.75">
      <c r="A175" t="s">
        <v>1059</v>
      </c>
      <c r="B175">
        <v>20</v>
      </c>
      <c r="L175" t="s">
        <v>211</v>
      </c>
      <c r="M175">
        <v>0</v>
      </c>
      <c r="N175">
        <v>35</v>
      </c>
      <c r="O175">
        <v>5</v>
      </c>
      <c r="P175">
        <v>4</v>
      </c>
      <c r="Q175">
        <v>4</v>
      </c>
      <c r="R175">
        <v>3</v>
      </c>
      <c r="S175">
        <v>3</v>
      </c>
      <c r="T175">
        <v>1</v>
      </c>
      <c r="U175">
        <v>6</v>
      </c>
      <c r="V175">
        <v>1</v>
      </c>
      <c r="W175">
        <v>8</v>
      </c>
      <c r="X175" s="28"/>
      <c r="Y175" t="s">
        <v>661</v>
      </c>
    </row>
    <row r="176" spans="1:25" ht="12.75">
      <c r="A176" t="s">
        <v>1056</v>
      </c>
      <c r="B176">
        <v>20</v>
      </c>
      <c r="L176" t="s">
        <v>390</v>
      </c>
      <c r="M176">
        <v>0</v>
      </c>
      <c r="N176">
        <v>25</v>
      </c>
      <c r="O176">
        <v>5</v>
      </c>
      <c r="P176">
        <v>3</v>
      </c>
      <c r="Q176">
        <v>3</v>
      </c>
      <c r="R176">
        <v>3</v>
      </c>
      <c r="S176">
        <v>3</v>
      </c>
      <c r="T176">
        <v>1</v>
      </c>
      <c r="U176">
        <v>5</v>
      </c>
      <c r="V176">
        <v>1</v>
      </c>
      <c r="W176">
        <v>7</v>
      </c>
      <c r="X176" s="28"/>
      <c r="Y176" t="s">
        <v>661</v>
      </c>
    </row>
    <row r="177" spans="1:24" ht="12.75">
      <c r="A177" t="s">
        <v>74</v>
      </c>
      <c r="B177">
        <v>15</v>
      </c>
      <c r="X177" s="28"/>
    </row>
    <row r="178" spans="1:26" ht="12.75">
      <c r="A178" t="s">
        <v>128</v>
      </c>
      <c r="B178">
        <v>30</v>
      </c>
      <c r="L178" s="21" t="s">
        <v>673</v>
      </c>
      <c r="M178" s="21">
        <v>20</v>
      </c>
      <c r="N178" s="21">
        <v>60</v>
      </c>
      <c r="O178" s="21">
        <v>4</v>
      </c>
      <c r="P178" s="21">
        <v>4</v>
      </c>
      <c r="Q178" s="21">
        <v>4</v>
      </c>
      <c r="R178" s="21">
        <v>3</v>
      </c>
      <c r="S178" s="21">
        <v>3</v>
      </c>
      <c r="T178" s="21">
        <v>1</v>
      </c>
      <c r="U178" s="21">
        <v>4</v>
      </c>
      <c r="V178" s="21">
        <v>1</v>
      </c>
      <c r="W178" s="21">
        <v>8</v>
      </c>
      <c r="X178" s="29" t="s">
        <v>119</v>
      </c>
      <c r="Y178" t="s">
        <v>679</v>
      </c>
      <c r="Z178" t="s">
        <v>790</v>
      </c>
    </row>
    <row r="179" spans="1:26" ht="12.75">
      <c r="A179" t="s">
        <v>126</v>
      </c>
      <c r="B179">
        <v>40</v>
      </c>
      <c r="L179" s="18" t="s">
        <v>175</v>
      </c>
      <c r="M179" s="18">
        <v>8</v>
      </c>
      <c r="N179" s="18">
        <v>35</v>
      </c>
      <c r="O179" s="18">
        <v>4</v>
      </c>
      <c r="P179" s="18">
        <v>3</v>
      </c>
      <c r="Q179" s="18">
        <v>4</v>
      </c>
      <c r="R179" s="18">
        <v>3</v>
      </c>
      <c r="S179" s="18">
        <v>3</v>
      </c>
      <c r="T179" s="18">
        <v>1</v>
      </c>
      <c r="U179" s="18">
        <v>3</v>
      </c>
      <c r="V179" s="18">
        <v>1</v>
      </c>
      <c r="W179" s="18">
        <v>7</v>
      </c>
      <c r="X179" s="30"/>
      <c r="Y179" t="s">
        <v>679</v>
      </c>
      <c r="Z179" t="s">
        <v>839</v>
      </c>
    </row>
    <row r="180" spans="1:26" ht="12.75">
      <c r="A180" t="s">
        <v>124</v>
      </c>
      <c r="B180">
        <v>20</v>
      </c>
      <c r="L180" s="18" t="s">
        <v>674</v>
      </c>
      <c r="M180" s="18">
        <v>0</v>
      </c>
      <c r="N180" s="18">
        <v>20</v>
      </c>
      <c r="O180" s="18">
        <v>4</v>
      </c>
      <c r="P180" s="18">
        <v>2</v>
      </c>
      <c r="Q180" s="18">
        <v>3</v>
      </c>
      <c r="R180" s="18">
        <v>3</v>
      </c>
      <c r="S180" s="18">
        <v>3</v>
      </c>
      <c r="T180" s="18">
        <v>1</v>
      </c>
      <c r="U180" s="18">
        <v>3</v>
      </c>
      <c r="V180" s="18">
        <v>1</v>
      </c>
      <c r="W180" s="18">
        <v>6</v>
      </c>
      <c r="X180" s="30"/>
      <c r="Y180" t="s">
        <v>679</v>
      </c>
      <c r="Z180" t="s">
        <v>791</v>
      </c>
    </row>
    <row r="181" spans="1:26" ht="12.75">
      <c r="A181" t="s">
        <v>131</v>
      </c>
      <c r="B181">
        <v>40</v>
      </c>
      <c r="L181" s="18" t="s">
        <v>675</v>
      </c>
      <c r="M181" s="18">
        <v>8</v>
      </c>
      <c r="N181" s="18">
        <v>35</v>
      </c>
      <c r="O181" s="18">
        <v>4</v>
      </c>
      <c r="P181" s="18">
        <v>3</v>
      </c>
      <c r="Q181" s="18">
        <v>3</v>
      </c>
      <c r="R181" s="18">
        <v>3</v>
      </c>
      <c r="S181" s="18">
        <v>3</v>
      </c>
      <c r="T181" s="18">
        <v>1</v>
      </c>
      <c r="U181" s="18">
        <v>3</v>
      </c>
      <c r="V181" s="18">
        <v>1</v>
      </c>
      <c r="W181" s="18">
        <v>7</v>
      </c>
      <c r="X181" s="30" t="s">
        <v>678</v>
      </c>
      <c r="Y181" t="s">
        <v>679</v>
      </c>
      <c r="Z181" t="s">
        <v>588</v>
      </c>
    </row>
    <row r="182" spans="1:25" ht="12.75">
      <c r="A182" t="s">
        <v>125</v>
      </c>
      <c r="B182">
        <v>50</v>
      </c>
      <c r="L182" t="s">
        <v>680</v>
      </c>
      <c r="M182">
        <v>0</v>
      </c>
      <c r="N182">
        <v>25</v>
      </c>
      <c r="O182">
        <v>4</v>
      </c>
      <c r="P182">
        <v>3</v>
      </c>
      <c r="Q182">
        <v>4</v>
      </c>
      <c r="R182">
        <v>3</v>
      </c>
      <c r="S182">
        <v>3</v>
      </c>
      <c r="T182">
        <v>1</v>
      </c>
      <c r="U182">
        <v>3</v>
      </c>
      <c r="V182">
        <v>1</v>
      </c>
      <c r="W182">
        <v>7</v>
      </c>
      <c r="X182" s="28"/>
      <c r="Y182" t="s">
        <v>679</v>
      </c>
    </row>
    <row r="183" spans="1:25" ht="12.75">
      <c r="A183" t="s">
        <v>132</v>
      </c>
      <c r="B183">
        <v>40</v>
      </c>
      <c r="L183" t="s">
        <v>676</v>
      </c>
      <c r="M183">
        <v>0</v>
      </c>
      <c r="N183">
        <v>25</v>
      </c>
      <c r="O183">
        <v>4</v>
      </c>
      <c r="P183">
        <v>3</v>
      </c>
      <c r="Q183">
        <v>3</v>
      </c>
      <c r="R183">
        <v>3</v>
      </c>
      <c r="S183">
        <v>3</v>
      </c>
      <c r="T183">
        <v>1</v>
      </c>
      <c r="U183">
        <v>3</v>
      </c>
      <c r="V183">
        <v>1</v>
      </c>
      <c r="W183">
        <v>7</v>
      </c>
      <c r="X183" s="28"/>
      <c r="Y183" t="s">
        <v>677</v>
      </c>
    </row>
    <row r="184" spans="1:24" ht="12.75">
      <c r="A184" t="s">
        <v>130</v>
      </c>
      <c r="B184">
        <v>40</v>
      </c>
      <c r="X184" s="28"/>
    </row>
    <row r="185" spans="1:26" ht="12.75">
      <c r="A185" t="s">
        <v>129</v>
      </c>
      <c r="B185">
        <v>35</v>
      </c>
      <c r="L185" s="21" t="s">
        <v>393</v>
      </c>
      <c r="M185" s="21">
        <v>20</v>
      </c>
      <c r="N185" s="21">
        <v>150</v>
      </c>
      <c r="O185" s="21">
        <v>4</v>
      </c>
      <c r="P185" s="21">
        <v>4</v>
      </c>
      <c r="Q185" s="21">
        <v>3</v>
      </c>
      <c r="R185" s="21">
        <v>4</v>
      </c>
      <c r="S185" s="21">
        <v>5</v>
      </c>
      <c r="T185" s="21">
        <v>3</v>
      </c>
      <c r="U185" s="21">
        <v>3</v>
      </c>
      <c r="V185" s="21">
        <v>2</v>
      </c>
      <c r="W185" s="21">
        <v>8</v>
      </c>
      <c r="X185" s="29" t="s">
        <v>394</v>
      </c>
      <c r="Y185" t="s">
        <v>551</v>
      </c>
      <c r="Z185" t="s">
        <v>839</v>
      </c>
    </row>
    <row r="186" spans="1:26" ht="12.75">
      <c r="A186" t="s">
        <v>127</v>
      </c>
      <c r="B186">
        <v>35</v>
      </c>
      <c r="L186" s="18" t="s">
        <v>391</v>
      </c>
      <c r="M186" s="18">
        <v>8</v>
      </c>
      <c r="N186" s="18">
        <v>55</v>
      </c>
      <c r="O186" s="18">
        <v>4</v>
      </c>
      <c r="P186" s="18">
        <v>2</v>
      </c>
      <c r="Q186" s="18">
        <v>2</v>
      </c>
      <c r="R186" s="18">
        <v>3</v>
      </c>
      <c r="S186" s="18">
        <v>3</v>
      </c>
      <c r="T186" s="18">
        <v>1</v>
      </c>
      <c r="U186" s="18">
        <v>3</v>
      </c>
      <c r="V186" s="18">
        <v>1</v>
      </c>
      <c r="W186" s="18">
        <v>7</v>
      </c>
      <c r="X186" s="30" t="s">
        <v>395</v>
      </c>
      <c r="Y186" t="s">
        <v>548</v>
      </c>
      <c r="Z186" t="s">
        <v>588</v>
      </c>
    </row>
    <row r="187" spans="1:26" ht="12.75">
      <c r="A187" t="s">
        <v>550</v>
      </c>
      <c r="B187">
        <v>10</v>
      </c>
      <c r="L187" s="18" t="s">
        <v>933</v>
      </c>
      <c r="M187" s="18">
        <v>0</v>
      </c>
      <c r="N187" s="18">
        <v>20</v>
      </c>
      <c r="O187" s="18">
        <v>4</v>
      </c>
      <c r="P187" s="18">
        <v>2</v>
      </c>
      <c r="Q187" s="18">
        <v>2</v>
      </c>
      <c r="R187" s="18">
        <v>3</v>
      </c>
      <c r="S187" s="18">
        <v>3</v>
      </c>
      <c r="T187" s="18">
        <v>1</v>
      </c>
      <c r="U187" s="18">
        <v>3</v>
      </c>
      <c r="V187" s="18">
        <v>1</v>
      </c>
      <c r="W187" s="18">
        <v>7</v>
      </c>
      <c r="X187" s="30" t="s">
        <v>110</v>
      </c>
      <c r="Y187" s="32" t="s">
        <v>554</v>
      </c>
      <c r="Z187" t="s">
        <v>872</v>
      </c>
    </row>
    <row r="188" spans="1:25" ht="12.75">
      <c r="A188" t="s">
        <v>1060</v>
      </c>
      <c r="B188">
        <v>20</v>
      </c>
      <c r="L188" t="s">
        <v>392</v>
      </c>
      <c r="M188">
        <v>0</v>
      </c>
      <c r="N188">
        <v>20</v>
      </c>
      <c r="O188">
        <v>4</v>
      </c>
      <c r="P188">
        <v>2</v>
      </c>
      <c r="Q188">
        <v>2</v>
      </c>
      <c r="R188">
        <v>3</v>
      </c>
      <c r="S188">
        <v>3</v>
      </c>
      <c r="T188">
        <v>1</v>
      </c>
      <c r="U188">
        <v>2</v>
      </c>
      <c r="V188">
        <v>1</v>
      </c>
      <c r="W188">
        <v>5</v>
      </c>
      <c r="X188" s="28" t="s">
        <v>110</v>
      </c>
      <c r="Y188" t="s">
        <v>547</v>
      </c>
    </row>
    <row r="189" spans="1:25" ht="12.75">
      <c r="A189" t="s">
        <v>75</v>
      </c>
      <c r="B189">
        <v>5</v>
      </c>
      <c r="L189" t="s">
        <v>1366</v>
      </c>
      <c r="M189">
        <v>0</v>
      </c>
      <c r="N189">
        <v>30</v>
      </c>
      <c r="O189">
        <v>4</v>
      </c>
      <c r="P189">
        <v>3</v>
      </c>
      <c r="Q189">
        <v>2</v>
      </c>
      <c r="R189">
        <v>4</v>
      </c>
      <c r="S189">
        <v>3</v>
      </c>
      <c r="T189">
        <v>1</v>
      </c>
      <c r="U189">
        <v>3</v>
      </c>
      <c r="V189">
        <v>1</v>
      </c>
      <c r="W189">
        <v>5</v>
      </c>
      <c r="X189" s="28" t="s">
        <v>110</v>
      </c>
      <c r="Y189" t="s">
        <v>547</v>
      </c>
    </row>
    <row r="190" spans="1:25" ht="12.75">
      <c r="A190" t="s">
        <v>76</v>
      </c>
      <c r="B190">
        <v>25</v>
      </c>
      <c r="L190" t="s">
        <v>555</v>
      </c>
      <c r="M190">
        <v>0</v>
      </c>
      <c r="N190">
        <v>15</v>
      </c>
      <c r="O190">
        <v>5</v>
      </c>
      <c r="P190">
        <v>2</v>
      </c>
      <c r="Q190" t="s">
        <v>396</v>
      </c>
      <c r="R190" t="s">
        <v>397</v>
      </c>
      <c r="S190">
        <v>2</v>
      </c>
      <c r="T190">
        <v>1</v>
      </c>
      <c r="U190">
        <v>4</v>
      </c>
      <c r="V190">
        <v>1</v>
      </c>
      <c r="W190">
        <v>4</v>
      </c>
      <c r="X190" s="28" t="s">
        <v>398</v>
      </c>
      <c r="Y190" t="s">
        <v>430</v>
      </c>
    </row>
    <row r="191" spans="1:24" ht="12.75">
      <c r="A191" t="s">
        <v>970</v>
      </c>
      <c r="B191">
        <v>0</v>
      </c>
      <c r="X191" s="28"/>
    </row>
    <row r="192" spans="1:26" ht="12.75">
      <c r="A192" t="s">
        <v>957</v>
      </c>
      <c r="B192">
        <v>10</v>
      </c>
      <c r="L192" s="21" t="s">
        <v>484</v>
      </c>
      <c r="M192" s="21">
        <v>20</v>
      </c>
      <c r="N192" s="21">
        <v>125</v>
      </c>
      <c r="O192" s="21">
        <v>4</v>
      </c>
      <c r="P192" s="21">
        <v>2</v>
      </c>
      <c r="Q192" s="21">
        <v>2</v>
      </c>
      <c r="R192" s="21">
        <v>2</v>
      </c>
      <c r="S192" s="21">
        <v>2</v>
      </c>
      <c r="T192" s="21">
        <v>4</v>
      </c>
      <c r="U192" s="21">
        <v>4</v>
      </c>
      <c r="V192" s="21">
        <v>1</v>
      </c>
      <c r="W192" s="21">
        <v>8</v>
      </c>
      <c r="X192" s="29" t="s">
        <v>489</v>
      </c>
      <c r="Y192" t="s">
        <v>497</v>
      </c>
      <c r="Z192" t="s">
        <v>875</v>
      </c>
    </row>
    <row r="193" spans="1:26" ht="12.75">
      <c r="A193" t="s">
        <v>77</v>
      </c>
      <c r="B193">
        <v>250</v>
      </c>
      <c r="L193" s="18" t="s">
        <v>146</v>
      </c>
      <c r="M193" s="18">
        <v>8</v>
      </c>
      <c r="N193" s="18">
        <v>40</v>
      </c>
      <c r="O193" s="18">
        <v>4</v>
      </c>
      <c r="P193" s="18">
        <v>3</v>
      </c>
      <c r="Q193" s="18">
        <v>3</v>
      </c>
      <c r="R193" s="18">
        <v>3</v>
      </c>
      <c r="S193" s="18">
        <v>3</v>
      </c>
      <c r="T193" s="18">
        <v>1</v>
      </c>
      <c r="U193" s="18">
        <v>3</v>
      </c>
      <c r="V193" s="18">
        <v>1</v>
      </c>
      <c r="W193" s="18">
        <v>7</v>
      </c>
      <c r="X193" s="30" t="s">
        <v>490</v>
      </c>
      <c r="Y193" t="s">
        <v>496</v>
      </c>
      <c r="Z193" t="s">
        <v>876</v>
      </c>
    </row>
    <row r="194" spans="1:26" ht="12.75">
      <c r="A194" t="s">
        <v>643</v>
      </c>
      <c r="B194">
        <v>20</v>
      </c>
      <c r="L194" s="18" t="s">
        <v>485</v>
      </c>
      <c r="M194" s="18">
        <v>6</v>
      </c>
      <c r="N194" s="18">
        <v>35</v>
      </c>
      <c r="O194" s="18">
        <v>4</v>
      </c>
      <c r="P194" s="18">
        <v>3</v>
      </c>
      <c r="Q194" s="18">
        <v>2</v>
      </c>
      <c r="R194" s="18">
        <v>3</v>
      </c>
      <c r="S194" s="18">
        <v>3</v>
      </c>
      <c r="T194" s="18">
        <v>1</v>
      </c>
      <c r="U194" s="18">
        <v>2</v>
      </c>
      <c r="V194" s="18">
        <v>1</v>
      </c>
      <c r="W194" s="18">
        <v>6</v>
      </c>
      <c r="X194" s="30" t="s">
        <v>491</v>
      </c>
      <c r="Y194" t="s">
        <v>496</v>
      </c>
      <c r="Z194" t="s">
        <v>580</v>
      </c>
    </row>
    <row r="195" spans="1:25" ht="12.75">
      <c r="A195" t="s">
        <v>78</v>
      </c>
      <c r="B195">
        <v>25</v>
      </c>
      <c r="L195" t="s">
        <v>147</v>
      </c>
      <c r="M195">
        <v>0</v>
      </c>
      <c r="N195">
        <v>15</v>
      </c>
      <c r="O195">
        <v>4</v>
      </c>
      <c r="P195">
        <v>2</v>
      </c>
      <c r="Q195">
        <v>0</v>
      </c>
      <c r="R195">
        <v>3</v>
      </c>
      <c r="S195">
        <v>3</v>
      </c>
      <c r="T195">
        <v>1</v>
      </c>
      <c r="U195">
        <v>1</v>
      </c>
      <c r="V195">
        <v>1</v>
      </c>
      <c r="W195">
        <v>5</v>
      </c>
      <c r="X195" s="28" t="s">
        <v>492</v>
      </c>
      <c r="Y195" t="s">
        <v>430</v>
      </c>
    </row>
    <row r="196" spans="1:25" ht="12.75">
      <c r="A196" t="s">
        <v>1211</v>
      </c>
      <c r="B196">
        <v>10</v>
      </c>
      <c r="L196" t="s">
        <v>486</v>
      </c>
      <c r="M196">
        <v>0</v>
      </c>
      <c r="N196">
        <v>20</v>
      </c>
      <c r="O196">
        <v>4</v>
      </c>
      <c r="P196">
        <v>2</v>
      </c>
      <c r="Q196">
        <v>2</v>
      </c>
      <c r="R196">
        <v>3</v>
      </c>
      <c r="S196">
        <v>3</v>
      </c>
      <c r="T196">
        <v>1</v>
      </c>
      <c r="U196">
        <v>2</v>
      </c>
      <c r="V196">
        <v>1</v>
      </c>
      <c r="W196">
        <v>5</v>
      </c>
      <c r="X196" s="28" t="s">
        <v>492</v>
      </c>
      <c r="Y196" t="s">
        <v>496</v>
      </c>
    </row>
    <row r="197" spans="1:25" ht="12.75">
      <c r="A197" t="s">
        <v>79</v>
      </c>
      <c r="B197">
        <v>15</v>
      </c>
      <c r="L197" t="s">
        <v>487</v>
      </c>
      <c r="M197">
        <v>0</v>
      </c>
      <c r="N197">
        <v>30</v>
      </c>
      <c r="O197">
        <v>4</v>
      </c>
      <c r="P197">
        <v>2</v>
      </c>
      <c r="Q197">
        <v>2</v>
      </c>
      <c r="R197">
        <v>3</v>
      </c>
      <c r="S197">
        <v>3</v>
      </c>
      <c r="T197">
        <v>1</v>
      </c>
      <c r="U197">
        <v>2</v>
      </c>
      <c r="V197">
        <v>1</v>
      </c>
      <c r="W197">
        <v>6</v>
      </c>
      <c r="X197" s="28" t="s">
        <v>493</v>
      </c>
      <c r="Y197" t="s">
        <v>496</v>
      </c>
    </row>
    <row r="198" spans="1:25" ht="12.75">
      <c r="A198" t="s">
        <v>80</v>
      </c>
      <c r="B198">
        <v>30</v>
      </c>
      <c r="L198" t="s">
        <v>488</v>
      </c>
      <c r="M198">
        <v>0</v>
      </c>
      <c r="N198">
        <v>65</v>
      </c>
      <c r="O198">
        <v>5</v>
      </c>
      <c r="P198">
        <v>3</v>
      </c>
      <c r="Q198">
        <v>0</v>
      </c>
      <c r="R198">
        <v>3</v>
      </c>
      <c r="S198" t="s">
        <v>494</v>
      </c>
      <c r="T198">
        <v>1</v>
      </c>
      <c r="U198">
        <v>3</v>
      </c>
      <c r="V198">
        <v>2</v>
      </c>
      <c r="W198">
        <v>10</v>
      </c>
      <c r="X198" s="28" t="s">
        <v>495</v>
      </c>
      <c r="Y198" t="s">
        <v>430</v>
      </c>
    </row>
    <row r="199" spans="1:24" ht="12.75">
      <c r="A199" t="s">
        <v>1113</v>
      </c>
      <c r="B199">
        <v>100</v>
      </c>
      <c r="X199" s="28"/>
    </row>
    <row r="200" spans="1:26" ht="12.75">
      <c r="A200" t="s">
        <v>1235</v>
      </c>
      <c r="B200">
        <v>15</v>
      </c>
      <c r="L200" s="21" t="s">
        <v>504</v>
      </c>
      <c r="M200" s="21">
        <v>20</v>
      </c>
      <c r="N200" s="21">
        <v>75</v>
      </c>
      <c r="O200" s="21">
        <v>4</v>
      </c>
      <c r="P200" s="21">
        <v>5</v>
      </c>
      <c r="Q200" s="21">
        <v>4</v>
      </c>
      <c r="R200" s="21">
        <v>4</v>
      </c>
      <c r="S200" s="21">
        <v>3</v>
      </c>
      <c r="T200" s="21">
        <v>1</v>
      </c>
      <c r="U200" s="21">
        <v>5</v>
      </c>
      <c r="V200" s="21">
        <v>1</v>
      </c>
      <c r="W200" s="21">
        <v>8</v>
      </c>
      <c r="X200" s="29" t="s">
        <v>507</v>
      </c>
      <c r="Y200" s="21" t="s">
        <v>506</v>
      </c>
      <c r="Z200" t="s">
        <v>881</v>
      </c>
    </row>
    <row r="201" spans="1:26" ht="12.75">
      <c r="A201" t="s">
        <v>81</v>
      </c>
      <c r="B201">
        <v>10</v>
      </c>
      <c r="L201" s="18" t="s">
        <v>505</v>
      </c>
      <c r="M201" s="18">
        <v>8</v>
      </c>
      <c r="N201" s="18">
        <v>45</v>
      </c>
      <c r="O201" s="18">
        <v>4</v>
      </c>
      <c r="P201" s="18">
        <v>4</v>
      </c>
      <c r="Q201" s="18">
        <v>3</v>
      </c>
      <c r="R201" s="18">
        <v>4</v>
      </c>
      <c r="S201" s="18">
        <v>3</v>
      </c>
      <c r="T201" s="18">
        <v>1</v>
      </c>
      <c r="U201" s="18">
        <v>4</v>
      </c>
      <c r="V201" s="18">
        <v>1</v>
      </c>
      <c r="W201" s="18">
        <v>7</v>
      </c>
      <c r="X201" s="30" t="s">
        <v>508</v>
      </c>
      <c r="Y201" s="18" t="s">
        <v>506</v>
      </c>
      <c r="Z201" t="s">
        <v>880</v>
      </c>
    </row>
    <row r="202" spans="1:25" ht="12.75">
      <c r="A202" t="s">
        <v>82</v>
      </c>
      <c r="B202">
        <v>15</v>
      </c>
      <c r="L202" s="20" t="s">
        <v>509</v>
      </c>
      <c r="M202">
        <v>0</v>
      </c>
      <c r="N202">
        <v>25</v>
      </c>
      <c r="O202">
        <v>4</v>
      </c>
      <c r="P202">
        <v>3</v>
      </c>
      <c r="Q202">
        <v>3</v>
      </c>
      <c r="R202">
        <v>3</v>
      </c>
      <c r="S202">
        <v>3</v>
      </c>
      <c r="T202">
        <v>1</v>
      </c>
      <c r="U202">
        <v>3</v>
      </c>
      <c r="V202">
        <v>1</v>
      </c>
      <c r="W202">
        <v>7</v>
      </c>
      <c r="X202" s="28" t="s">
        <v>508</v>
      </c>
      <c r="Y202" t="s">
        <v>506</v>
      </c>
    </row>
    <row r="203" spans="1:25" ht="12.75">
      <c r="A203" t="s">
        <v>83</v>
      </c>
      <c r="B203">
        <v>40</v>
      </c>
      <c r="L203" s="20" t="s">
        <v>510</v>
      </c>
      <c r="M203">
        <v>0</v>
      </c>
      <c r="N203">
        <v>15</v>
      </c>
      <c r="O203">
        <v>4</v>
      </c>
      <c r="P203">
        <v>2</v>
      </c>
      <c r="Q203">
        <v>2</v>
      </c>
      <c r="R203">
        <v>3</v>
      </c>
      <c r="S203">
        <v>3</v>
      </c>
      <c r="T203">
        <v>1</v>
      </c>
      <c r="U203">
        <v>3</v>
      </c>
      <c r="V203">
        <v>1</v>
      </c>
      <c r="W203">
        <v>7</v>
      </c>
      <c r="X203" s="28" t="s">
        <v>513</v>
      </c>
      <c r="Y203" t="s">
        <v>511</v>
      </c>
    </row>
    <row r="204" spans="1:25" ht="12.75">
      <c r="A204" t="s">
        <v>635</v>
      </c>
      <c r="B204">
        <v>5</v>
      </c>
      <c r="L204" s="20" t="s">
        <v>512</v>
      </c>
      <c r="M204">
        <v>0</v>
      </c>
      <c r="N204">
        <v>30</v>
      </c>
      <c r="O204">
        <v>4</v>
      </c>
      <c r="P204">
        <v>3</v>
      </c>
      <c r="Q204">
        <v>3</v>
      </c>
      <c r="R204">
        <v>3</v>
      </c>
      <c r="S204">
        <v>3</v>
      </c>
      <c r="T204">
        <v>1</v>
      </c>
      <c r="U204">
        <v>4</v>
      </c>
      <c r="V204">
        <v>1</v>
      </c>
      <c r="W204">
        <v>7</v>
      </c>
      <c r="X204" s="28" t="s">
        <v>514</v>
      </c>
      <c r="Y204" t="s">
        <v>511</v>
      </c>
    </row>
    <row r="205" spans="1:24" ht="12.75">
      <c r="A205" t="s">
        <v>84</v>
      </c>
      <c r="B205">
        <v>5</v>
      </c>
      <c r="X205" s="28"/>
    </row>
    <row r="206" spans="1:26" ht="12.75">
      <c r="A206" t="s">
        <v>863</v>
      </c>
      <c r="B206">
        <v>50</v>
      </c>
      <c r="L206" s="21" t="s">
        <v>940</v>
      </c>
      <c r="M206" s="21">
        <v>20</v>
      </c>
      <c r="N206" s="21">
        <v>185</v>
      </c>
      <c r="O206" s="21">
        <v>6</v>
      </c>
      <c r="P206" s="21">
        <v>4</v>
      </c>
      <c r="Q206" s="21">
        <v>3</v>
      </c>
      <c r="R206" s="21">
        <v>4</v>
      </c>
      <c r="S206" s="21">
        <v>4</v>
      </c>
      <c r="T206" s="21">
        <v>3</v>
      </c>
      <c r="U206" s="21">
        <v>3</v>
      </c>
      <c r="V206" s="21">
        <v>2</v>
      </c>
      <c r="W206" s="21">
        <v>8</v>
      </c>
      <c r="X206" s="29" t="s">
        <v>947</v>
      </c>
      <c r="Y206" s="21" t="s">
        <v>956</v>
      </c>
      <c r="Z206" s="21" t="s">
        <v>713</v>
      </c>
    </row>
    <row r="207" spans="1:26" ht="12.75">
      <c r="A207" t="s">
        <v>861</v>
      </c>
      <c r="B207">
        <v>40</v>
      </c>
      <c r="L207" s="18" t="s">
        <v>941</v>
      </c>
      <c r="M207" s="18">
        <v>11</v>
      </c>
      <c r="N207" s="18">
        <v>135</v>
      </c>
      <c r="O207" s="18">
        <v>6</v>
      </c>
      <c r="P207" s="18">
        <v>3</v>
      </c>
      <c r="Q207" s="18">
        <v>2</v>
      </c>
      <c r="R207" s="18">
        <v>4</v>
      </c>
      <c r="S207" s="18">
        <v>4</v>
      </c>
      <c r="T207" s="18">
        <v>2</v>
      </c>
      <c r="U207" s="18">
        <v>3</v>
      </c>
      <c r="V207" s="18">
        <v>2</v>
      </c>
      <c r="W207" s="18">
        <v>7</v>
      </c>
      <c r="X207" s="30" t="s">
        <v>949</v>
      </c>
      <c r="Y207" s="18" t="s">
        <v>950</v>
      </c>
      <c r="Z207" s="18" t="s">
        <v>713</v>
      </c>
    </row>
    <row r="208" spans="1:26" ht="12.75">
      <c r="A208" t="s">
        <v>862</v>
      </c>
      <c r="B208">
        <v>40</v>
      </c>
      <c r="L208" s="18" t="s">
        <v>942</v>
      </c>
      <c r="M208" s="18">
        <v>0</v>
      </c>
      <c r="N208" s="18">
        <v>45</v>
      </c>
      <c r="O208" s="18">
        <v>6</v>
      </c>
      <c r="P208" s="18">
        <v>2</v>
      </c>
      <c r="Q208" s="18">
        <v>2</v>
      </c>
      <c r="R208" s="18">
        <v>3</v>
      </c>
      <c r="S208" s="18">
        <v>4</v>
      </c>
      <c r="T208" s="18">
        <v>2</v>
      </c>
      <c r="U208" s="18">
        <v>2</v>
      </c>
      <c r="V208" s="18">
        <v>1</v>
      </c>
      <c r="W208" s="18">
        <v>6</v>
      </c>
      <c r="X208" s="30" t="s">
        <v>954</v>
      </c>
      <c r="Y208" s="18" t="s">
        <v>948</v>
      </c>
      <c r="Z208" s="18" t="s">
        <v>808</v>
      </c>
    </row>
    <row r="209" spans="1:26" ht="12.75">
      <c r="A209" t="s">
        <v>972</v>
      </c>
      <c r="B209">
        <v>10</v>
      </c>
      <c r="L209" s="18" t="s">
        <v>943</v>
      </c>
      <c r="M209" s="18">
        <v>0</v>
      </c>
      <c r="N209" s="18">
        <v>30</v>
      </c>
      <c r="O209" s="18">
        <v>4</v>
      </c>
      <c r="P209" s="18">
        <v>2</v>
      </c>
      <c r="Q209" s="18">
        <v>3</v>
      </c>
      <c r="R209" s="18">
        <v>3</v>
      </c>
      <c r="S209" s="18">
        <v>3</v>
      </c>
      <c r="T209" s="18">
        <v>1</v>
      </c>
      <c r="U209" s="18">
        <v>3</v>
      </c>
      <c r="V209" s="18">
        <v>1</v>
      </c>
      <c r="W209" s="18">
        <v>6</v>
      </c>
      <c r="X209" s="30" t="s">
        <v>955</v>
      </c>
      <c r="Y209" s="18" t="s">
        <v>951</v>
      </c>
      <c r="Z209" s="18" t="s">
        <v>802</v>
      </c>
    </row>
    <row r="210" spans="1:25" ht="12.75">
      <c r="A210" t="s">
        <v>853</v>
      </c>
      <c r="B210">
        <v>0</v>
      </c>
      <c r="L210" t="s">
        <v>944</v>
      </c>
      <c r="M210">
        <v>0</v>
      </c>
      <c r="N210">
        <v>85</v>
      </c>
      <c r="O210">
        <v>6</v>
      </c>
      <c r="P210">
        <v>3</v>
      </c>
      <c r="Q210">
        <v>2</v>
      </c>
      <c r="R210">
        <v>4</v>
      </c>
      <c r="S210">
        <v>4</v>
      </c>
      <c r="T210">
        <v>2</v>
      </c>
      <c r="U210">
        <v>2</v>
      </c>
      <c r="V210">
        <v>2</v>
      </c>
      <c r="W210">
        <v>7</v>
      </c>
      <c r="X210" s="28" t="s">
        <v>947</v>
      </c>
      <c r="Y210" t="s">
        <v>948</v>
      </c>
    </row>
    <row r="211" spans="1:25" ht="12.75">
      <c r="A211" t="s">
        <v>855</v>
      </c>
      <c r="B211">
        <v>50</v>
      </c>
      <c r="L211" t="s">
        <v>945</v>
      </c>
      <c r="M211">
        <v>0</v>
      </c>
      <c r="N211">
        <v>100</v>
      </c>
      <c r="O211">
        <v>6</v>
      </c>
      <c r="P211">
        <v>2</v>
      </c>
      <c r="Q211">
        <v>2</v>
      </c>
      <c r="R211">
        <v>4</v>
      </c>
      <c r="S211">
        <v>4</v>
      </c>
      <c r="T211">
        <v>2</v>
      </c>
      <c r="U211">
        <v>2</v>
      </c>
      <c r="V211">
        <v>1</v>
      </c>
      <c r="W211">
        <v>7</v>
      </c>
      <c r="X211" s="28" t="s">
        <v>952</v>
      </c>
      <c r="Y211" t="s">
        <v>953</v>
      </c>
    </row>
    <row r="212" spans="1:26" ht="12.75">
      <c r="A212" t="s">
        <v>856</v>
      </c>
      <c r="B212">
        <v>55</v>
      </c>
      <c r="L212" t="s">
        <v>946</v>
      </c>
      <c r="M212">
        <v>0</v>
      </c>
      <c r="N212">
        <v>15</v>
      </c>
      <c r="O212">
        <v>4</v>
      </c>
      <c r="P212">
        <v>2</v>
      </c>
      <c r="Q212">
        <v>2</v>
      </c>
      <c r="R212">
        <v>2</v>
      </c>
      <c r="S212">
        <v>3</v>
      </c>
      <c r="T212">
        <v>1</v>
      </c>
      <c r="U212">
        <v>3</v>
      </c>
      <c r="V212">
        <v>1</v>
      </c>
      <c r="W212">
        <v>5</v>
      </c>
      <c r="X212" s="28"/>
      <c r="Z212" t="s">
        <v>802</v>
      </c>
    </row>
    <row r="213" spans="1:24" ht="12.75">
      <c r="A213" t="s">
        <v>857</v>
      </c>
      <c r="B213">
        <v>5</v>
      </c>
      <c r="X213" s="28"/>
    </row>
    <row r="214" spans="1:26" ht="12.75">
      <c r="A214" t="s">
        <v>1061</v>
      </c>
      <c r="B214">
        <v>10</v>
      </c>
      <c r="L214" s="21" t="s">
        <v>1075</v>
      </c>
      <c r="M214" s="21">
        <v>20</v>
      </c>
      <c r="N214" s="21">
        <v>70</v>
      </c>
      <c r="O214" s="21">
        <v>4</v>
      </c>
      <c r="P214" s="21">
        <v>3</v>
      </c>
      <c r="Q214" s="21">
        <v>3</v>
      </c>
      <c r="R214" s="21">
        <v>4</v>
      </c>
      <c r="S214" s="21">
        <v>4</v>
      </c>
      <c r="T214" s="21">
        <v>1</v>
      </c>
      <c r="U214" s="21">
        <v>3</v>
      </c>
      <c r="V214" s="21">
        <v>1</v>
      </c>
      <c r="W214" s="21">
        <v>9</v>
      </c>
      <c r="X214" s="29" t="s">
        <v>1085</v>
      </c>
      <c r="Y214" s="21" t="s">
        <v>1086</v>
      </c>
      <c r="Z214" s="21" t="s">
        <v>1091</v>
      </c>
    </row>
    <row r="215" spans="1:26" ht="12.75">
      <c r="A215" t="s">
        <v>1253</v>
      </c>
      <c r="B215">
        <v>10</v>
      </c>
      <c r="L215" s="18" t="s">
        <v>1076</v>
      </c>
      <c r="M215" s="18">
        <v>8</v>
      </c>
      <c r="N215" s="18">
        <v>55</v>
      </c>
      <c r="O215" s="18">
        <v>4</v>
      </c>
      <c r="P215" s="18">
        <v>4</v>
      </c>
      <c r="Q215" s="18">
        <v>3</v>
      </c>
      <c r="R215" s="18">
        <v>4</v>
      </c>
      <c r="S215" s="18">
        <v>3</v>
      </c>
      <c r="T215" s="18">
        <v>1</v>
      </c>
      <c r="U215" s="18">
        <v>3</v>
      </c>
      <c r="V215" s="18">
        <v>1</v>
      </c>
      <c r="W215" s="18">
        <v>9</v>
      </c>
      <c r="X215" s="30" t="s">
        <v>1087</v>
      </c>
      <c r="Y215" s="18" t="s">
        <v>1086</v>
      </c>
      <c r="Z215" s="18" t="s">
        <v>801</v>
      </c>
    </row>
    <row r="216" spans="1:26" ht="12.75">
      <c r="A216" t="s">
        <v>616</v>
      </c>
      <c r="B216">
        <v>50</v>
      </c>
      <c r="L216" s="18" t="s">
        <v>1088</v>
      </c>
      <c r="M216" s="18">
        <v>8</v>
      </c>
      <c r="N216" s="18">
        <v>35</v>
      </c>
      <c r="O216" s="18">
        <v>4</v>
      </c>
      <c r="P216" s="18">
        <v>3</v>
      </c>
      <c r="Q216" s="18">
        <v>3</v>
      </c>
      <c r="R216" s="18">
        <v>3</v>
      </c>
      <c r="S216" s="18">
        <v>3</v>
      </c>
      <c r="T216" s="18">
        <v>1</v>
      </c>
      <c r="U216" s="18">
        <v>3</v>
      </c>
      <c r="V216" s="18">
        <v>1</v>
      </c>
      <c r="W216" s="18">
        <v>7</v>
      </c>
      <c r="X216" s="30" t="s">
        <v>332</v>
      </c>
      <c r="Y216" s="18" t="s">
        <v>1080</v>
      </c>
      <c r="Z216" s="18" t="s">
        <v>1092</v>
      </c>
    </row>
    <row r="217" spans="1:26" ht="12.75">
      <c r="A217" t="s">
        <v>553</v>
      </c>
      <c r="B217">
        <v>30</v>
      </c>
      <c r="L217" s="18" t="s">
        <v>1089</v>
      </c>
      <c r="M217" s="18">
        <v>0</v>
      </c>
      <c r="N217" s="18">
        <v>15</v>
      </c>
      <c r="O217" s="18">
        <v>4</v>
      </c>
      <c r="P217" s="18">
        <v>2</v>
      </c>
      <c r="Q217" s="18">
        <v>2</v>
      </c>
      <c r="R217" s="18">
        <v>3</v>
      </c>
      <c r="S217" s="18">
        <v>3</v>
      </c>
      <c r="T217" s="18">
        <v>1</v>
      </c>
      <c r="U217" s="18">
        <v>3</v>
      </c>
      <c r="V217" s="18">
        <v>1</v>
      </c>
      <c r="W217" s="18">
        <v>6</v>
      </c>
      <c r="X217" s="30"/>
      <c r="Y217" s="18" t="s">
        <v>1086</v>
      </c>
      <c r="Z217" s="18" t="s">
        <v>802</v>
      </c>
    </row>
    <row r="218" spans="1:25" ht="12.75">
      <c r="A218" t="s">
        <v>85</v>
      </c>
      <c r="B218">
        <v>5</v>
      </c>
      <c r="L218" t="s">
        <v>1077</v>
      </c>
      <c r="M218">
        <v>0</v>
      </c>
      <c r="N218">
        <v>20</v>
      </c>
      <c r="O218">
        <v>4</v>
      </c>
      <c r="P218">
        <v>2</v>
      </c>
      <c r="Q218">
        <v>2</v>
      </c>
      <c r="R218">
        <v>3</v>
      </c>
      <c r="S218">
        <v>3</v>
      </c>
      <c r="T218">
        <v>1</v>
      </c>
      <c r="U218">
        <v>3</v>
      </c>
      <c r="V218">
        <v>1</v>
      </c>
      <c r="W218">
        <v>7</v>
      </c>
      <c r="X218" s="28"/>
      <c r="Y218" t="s">
        <v>1086</v>
      </c>
    </row>
    <row r="219" spans="1:25" ht="12.75">
      <c r="A219" t="s">
        <v>86</v>
      </c>
      <c r="B219">
        <v>5</v>
      </c>
      <c r="L219" t="s">
        <v>1078</v>
      </c>
      <c r="M219">
        <v>0</v>
      </c>
      <c r="N219">
        <v>10</v>
      </c>
      <c r="O219">
        <v>4</v>
      </c>
      <c r="P219">
        <v>2</v>
      </c>
      <c r="Q219">
        <v>2</v>
      </c>
      <c r="R219">
        <v>3</v>
      </c>
      <c r="S219">
        <v>3</v>
      </c>
      <c r="T219">
        <v>1</v>
      </c>
      <c r="U219">
        <v>3</v>
      </c>
      <c r="V219">
        <v>1</v>
      </c>
      <c r="W219">
        <v>7</v>
      </c>
      <c r="X219" s="28" t="s">
        <v>1090</v>
      </c>
      <c r="Y219" t="s">
        <v>1080</v>
      </c>
    </row>
    <row r="220" spans="1:24" ht="12.75">
      <c r="A220" t="s">
        <v>87</v>
      </c>
      <c r="B220">
        <v>15</v>
      </c>
      <c r="X220" s="28"/>
    </row>
    <row r="221" spans="1:26" ht="12.75">
      <c r="A221" t="s">
        <v>854</v>
      </c>
      <c r="B221">
        <v>0</v>
      </c>
      <c r="L221" s="21" t="s">
        <v>1125</v>
      </c>
      <c r="M221" s="21">
        <v>20</v>
      </c>
      <c r="N221" s="21">
        <v>75</v>
      </c>
      <c r="O221" s="21">
        <v>4</v>
      </c>
      <c r="P221" s="21">
        <v>4</v>
      </c>
      <c r="Q221" s="21">
        <v>4</v>
      </c>
      <c r="R221" s="21">
        <v>4</v>
      </c>
      <c r="S221" s="21">
        <v>4</v>
      </c>
      <c r="T221" s="21">
        <v>1</v>
      </c>
      <c r="U221" s="21">
        <v>4</v>
      </c>
      <c r="V221" s="21">
        <v>1</v>
      </c>
      <c r="W221" s="21">
        <v>9</v>
      </c>
      <c r="X221" s="29" t="s">
        <v>119</v>
      </c>
      <c r="Y221" s="22" t="s">
        <v>412</v>
      </c>
      <c r="Z221" s="21" t="s">
        <v>1100</v>
      </c>
    </row>
    <row r="222" spans="1:26" ht="12.75">
      <c r="A222" t="s">
        <v>858</v>
      </c>
      <c r="B222">
        <v>5</v>
      </c>
      <c r="L222" s="18" t="s">
        <v>1126</v>
      </c>
      <c r="M222" s="18">
        <v>0</v>
      </c>
      <c r="N222" s="18">
        <v>30</v>
      </c>
      <c r="O222" s="18">
        <v>4</v>
      </c>
      <c r="P222" s="18">
        <v>3</v>
      </c>
      <c r="Q222" s="18">
        <v>3</v>
      </c>
      <c r="R222" s="18">
        <v>3</v>
      </c>
      <c r="S222" s="18">
        <v>3</v>
      </c>
      <c r="T222" s="18">
        <v>1</v>
      </c>
      <c r="U222" s="18">
        <v>4</v>
      </c>
      <c r="V222" s="18">
        <v>1</v>
      </c>
      <c r="W222" s="18">
        <v>6</v>
      </c>
      <c r="X222" s="30"/>
      <c r="Y222" s="19" t="s">
        <v>412</v>
      </c>
      <c r="Z222" s="98" t="s">
        <v>1100</v>
      </c>
    </row>
    <row r="223" spans="1:26" ht="12.75">
      <c r="A223" t="s">
        <v>657</v>
      </c>
      <c r="B223">
        <v>25</v>
      </c>
      <c r="L223" s="18" t="s">
        <v>1098</v>
      </c>
      <c r="M223" s="18">
        <v>12</v>
      </c>
      <c r="N223" s="18">
        <v>60</v>
      </c>
      <c r="O223" s="18">
        <v>4</v>
      </c>
      <c r="P223" s="18">
        <v>4</v>
      </c>
      <c r="Q223" s="18">
        <v>3</v>
      </c>
      <c r="R223" s="18">
        <v>3</v>
      </c>
      <c r="S223" s="18">
        <v>3</v>
      </c>
      <c r="T223" s="18">
        <v>2</v>
      </c>
      <c r="U223" s="18">
        <v>3</v>
      </c>
      <c r="V223" s="18">
        <v>2</v>
      </c>
      <c r="W223" s="18">
        <v>8</v>
      </c>
      <c r="X223" s="30" t="s">
        <v>1102</v>
      </c>
      <c r="Y223" s="19" t="s">
        <v>412</v>
      </c>
      <c r="Z223" s="98" t="s">
        <v>1101</v>
      </c>
    </row>
    <row r="224" spans="1:26" ht="12.75">
      <c r="A224" t="s">
        <v>658</v>
      </c>
      <c r="B224">
        <v>25</v>
      </c>
      <c r="L224" s="18" t="s">
        <v>1099</v>
      </c>
      <c r="M224" s="18">
        <v>12</v>
      </c>
      <c r="N224" s="18">
        <v>60</v>
      </c>
      <c r="O224" s="18">
        <v>4</v>
      </c>
      <c r="P224" s="18">
        <v>4</v>
      </c>
      <c r="Q224" s="18">
        <v>3</v>
      </c>
      <c r="R224" s="18">
        <v>4</v>
      </c>
      <c r="S224" s="18">
        <v>3</v>
      </c>
      <c r="T224" s="18">
        <v>1</v>
      </c>
      <c r="U224" s="18">
        <v>3</v>
      </c>
      <c r="V224" s="18">
        <v>1</v>
      </c>
      <c r="W224" s="18">
        <v>7</v>
      </c>
      <c r="X224" s="30" t="s">
        <v>1103</v>
      </c>
      <c r="Y224" s="19" t="s">
        <v>412</v>
      </c>
      <c r="Z224" s="98" t="s">
        <v>580</v>
      </c>
    </row>
    <row r="225" spans="1:25" ht="12.75">
      <c r="A225" t="s">
        <v>659</v>
      </c>
      <c r="B225">
        <v>25</v>
      </c>
      <c r="L225" t="s">
        <v>1104</v>
      </c>
      <c r="M225">
        <v>0</v>
      </c>
      <c r="N225">
        <v>40</v>
      </c>
      <c r="O225">
        <v>4</v>
      </c>
      <c r="P225">
        <v>4</v>
      </c>
      <c r="Q225">
        <v>3</v>
      </c>
      <c r="R225">
        <v>3</v>
      </c>
      <c r="S225">
        <v>3</v>
      </c>
      <c r="T225">
        <v>1</v>
      </c>
      <c r="U225">
        <v>3</v>
      </c>
      <c r="V225">
        <v>2</v>
      </c>
      <c r="W225">
        <v>8</v>
      </c>
      <c r="X225" s="24" t="s">
        <v>1105</v>
      </c>
      <c r="Y225" s="17" t="s">
        <v>412</v>
      </c>
    </row>
    <row r="226" spans="1:25" ht="12.75">
      <c r="A226" t="s">
        <v>660</v>
      </c>
      <c r="B226">
        <v>25</v>
      </c>
      <c r="L226" t="s">
        <v>1106</v>
      </c>
      <c r="M226">
        <v>0</v>
      </c>
      <c r="N226">
        <v>25</v>
      </c>
      <c r="O226">
        <v>4</v>
      </c>
      <c r="P226">
        <v>3</v>
      </c>
      <c r="Q226">
        <v>3</v>
      </c>
      <c r="R226">
        <v>3</v>
      </c>
      <c r="S226">
        <v>3</v>
      </c>
      <c r="T226">
        <v>1</v>
      </c>
      <c r="U226">
        <v>3</v>
      </c>
      <c r="V226">
        <v>1</v>
      </c>
      <c r="W226">
        <v>7</v>
      </c>
      <c r="X226" s="24"/>
      <c r="Y226" s="17" t="s">
        <v>412</v>
      </c>
    </row>
    <row r="227" spans="1:25" ht="12.75">
      <c r="A227" t="s">
        <v>88</v>
      </c>
      <c r="B227">
        <v>2</v>
      </c>
      <c r="L227" t="s">
        <v>1107</v>
      </c>
      <c r="M227">
        <v>0</v>
      </c>
      <c r="N227">
        <v>15</v>
      </c>
      <c r="O227">
        <v>4</v>
      </c>
      <c r="P227">
        <v>2</v>
      </c>
      <c r="Q227">
        <v>2</v>
      </c>
      <c r="R227">
        <v>3</v>
      </c>
      <c r="S227">
        <v>3</v>
      </c>
      <c r="T227">
        <v>1</v>
      </c>
      <c r="U227">
        <v>3</v>
      </c>
      <c r="V227">
        <v>1</v>
      </c>
      <c r="W227">
        <v>6</v>
      </c>
      <c r="Y227" s="17" t="s">
        <v>412</v>
      </c>
    </row>
    <row r="228" spans="1:2" ht="12.75">
      <c r="A228" t="s">
        <v>1062</v>
      </c>
      <c r="B228">
        <v>10</v>
      </c>
    </row>
    <row r="229" spans="1:26" ht="12.75">
      <c r="A229" t="s">
        <v>89</v>
      </c>
      <c r="B229">
        <v>10</v>
      </c>
      <c r="L229" s="21" t="s">
        <v>1108</v>
      </c>
      <c r="M229" s="21">
        <v>20</v>
      </c>
      <c r="N229" s="21">
        <v>65</v>
      </c>
      <c r="O229" s="21">
        <v>5</v>
      </c>
      <c r="P229" s="21">
        <v>4</v>
      </c>
      <c r="Q229" s="21">
        <v>3</v>
      </c>
      <c r="R229" s="21">
        <v>4</v>
      </c>
      <c r="S229" s="21">
        <v>4</v>
      </c>
      <c r="T229" s="21">
        <v>1</v>
      </c>
      <c r="U229" s="21">
        <v>5</v>
      </c>
      <c r="V229" s="21">
        <v>1</v>
      </c>
      <c r="W229" s="21">
        <v>7</v>
      </c>
      <c r="X229" s="21" t="s">
        <v>119</v>
      </c>
      <c r="Y229" s="21" t="s">
        <v>1111</v>
      </c>
      <c r="Z229" s="21" t="s">
        <v>792</v>
      </c>
    </row>
    <row r="230" spans="1:26" ht="12.75">
      <c r="A230" t="s">
        <v>90</v>
      </c>
      <c r="B230">
        <v>15</v>
      </c>
      <c r="L230" s="18" t="s">
        <v>1109</v>
      </c>
      <c r="M230" s="18">
        <v>8</v>
      </c>
      <c r="N230" s="18">
        <v>40</v>
      </c>
      <c r="O230" s="18">
        <v>5</v>
      </c>
      <c r="P230" s="18">
        <v>4</v>
      </c>
      <c r="Q230" s="18">
        <v>3</v>
      </c>
      <c r="R230" s="18">
        <v>4</v>
      </c>
      <c r="S230" s="18">
        <v>4</v>
      </c>
      <c r="T230" s="18">
        <v>1</v>
      </c>
      <c r="U230" s="18">
        <v>5</v>
      </c>
      <c r="V230" s="18">
        <v>1</v>
      </c>
      <c r="W230" s="18">
        <v>6</v>
      </c>
      <c r="X230" s="18"/>
      <c r="Y230" s="18" t="s">
        <v>1111</v>
      </c>
      <c r="Z230" s="18" t="s">
        <v>803</v>
      </c>
    </row>
    <row r="231" spans="1:26" ht="12.75">
      <c r="A231" t="s">
        <v>552</v>
      </c>
      <c r="B231">
        <v>3</v>
      </c>
      <c r="L231" s="18" t="s">
        <v>1110</v>
      </c>
      <c r="M231" s="18">
        <v>0</v>
      </c>
      <c r="N231" s="18">
        <v>15</v>
      </c>
      <c r="O231" s="18">
        <v>5</v>
      </c>
      <c r="P231" s="18">
        <v>2</v>
      </c>
      <c r="Q231" s="18">
        <v>2</v>
      </c>
      <c r="R231" s="18">
        <v>3</v>
      </c>
      <c r="S231" s="18">
        <v>3</v>
      </c>
      <c r="T231" s="18">
        <v>1</v>
      </c>
      <c r="U231" s="18">
        <v>4</v>
      </c>
      <c r="V231" s="18">
        <v>1</v>
      </c>
      <c r="W231" s="18">
        <v>5</v>
      </c>
      <c r="X231" s="18"/>
      <c r="Y231" s="18" t="s">
        <v>1111</v>
      </c>
      <c r="Z231" s="18" t="s">
        <v>804</v>
      </c>
    </row>
    <row r="232" spans="1:25" ht="12.75">
      <c r="A232" t="s">
        <v>664</v>
      </c>
      <c r="B232">
        <v>75</v>
      </c>
      <c r="L232" t="s">
        <v>1120</v>
      </c>
      <c r="M232">
        <v>0</v>
      </c>
      <c r="N232">
        <v>30</v>
      </c>
      <c r="O232">
        <v>5</v>
      </c>
      <c r="P232">
        <v>3</v>
      </c>
      <c r="Q232">
        <v>3</v>
      </c>
      <c r="R232">
        <v>3</v>
      </c>
      <c r="S232">
        <v>4</v>
      </c>
      <c r="T232">
        <v>1</v>
      </c>
      <c r="U232">
        <v>4</v>
      </c>
      <c r="V232">
        <v>1</v>
      </c>
      <c r="W232">
        <v>5</v>
      </c>
      <c r="Y232" t="s">
        <v>1115</v>
      </c>
    </row>
    <row r="233" spans="1:25" ht="12.75">
      <c r="A233" t="s">
        <v>1208</v>
      </c>
      <c r="B233">
        <v>40</v>
      </c>
      <c r="L233" t="s">
        <v>1121</v>
      </c>
      <c r="M233">
        <v>0</v>
      </c>
      <c r="N233">
        <v>20</v>
      </c>
      <c r="O233">
        <v>5</v>
      </c>
      <c r="P233">
        <v>3</v>
      </c>
      <c r="Q233">
        <v>3</v>
      </c>
      <c r="R233">
        <v>3</v>
      </c>
      <c r="S233">
        <v>3</v>
      </c>
      <c r="T233">
        <v>1</v>
      </c>
      <c r="U233">
        <v>4</v>
      </c>
      <c r="V233">
        <v>1</v>
      </c>
      <c r="W233">
        <v>5</v>
      </c>
      <c r="Y233" t="s">
        <v>1114</v>
      </c>
    </row>
    <row r="234" spans="1:25" ht="12.75">
      <c r="A234" t="s">
        <v>1263</v>
      </c>
      <c r="B234">
        <v>0</v>
      </c>
      <c r="L234" t="s">
        <v>1122</v>
      </c>
      <c r="M234">
        <v>0</v>
      </c>
      <c r="N234">
        <v>10</v>
      </c>
      <c r="O234">
        <v>5</v>
      </c>
      <c r="P234">
        <v>2</v>
      </c>
      <c r="Q234">
        <v>2</v>
      </c>
      <c r="R234">
        <v>3</v>
      </c>
      <c r="S234">
        <v>3</v>
      </c>
      <c r="T234">
        <v>1</v>
      </c>
      <c r="U234">
        <v>4</v>
      </c>
      <c r="V234">
        <v>1</v>
      </c>
      <c r="W234">
        <v>4</v>
      </c>
      <c r="X234" t="s">
        <v>1123</v>
      </c>
      <c r="Y234" t="s">
        <v>1114</v>
      </c>
    </row>
    <row r="235" spans="1:2" ht="12.75">
      <c r="A235" t="s">
        <v>91</v>
      </c>
      <c r="B235">
        <v>10</v>
      </c>
    </row>
    <row r="236" spans="1:26" ht="12.75">
      <c r="A236" t="s">
        <v>627</v>
      </c>
      <c r="B236">
        <v>3</v>
      </c>
      <c r="L236" s="21" t="s">
        <v>1152</v>
      </c>
      <c r="M236" s="21">
        <v>20</v>
      </c>
      <c r="N236" s="21">
        <v>95</v>
      </c>
      <c r="O236" s="21">
        <v>4</v>
      </c>
      <c r="P236" s="21">
        <v>5</v>
      </c>
      <c r="Q236" s="21">
        <v>3</v>
      </c>
      <c r="R236" s="21">
        <v>4</v>
      </c>
      <c r="S236" s="21">
        <v>4</v>
      </c>
      <c r="T236" s="21">
        <v>1</v>
      </c>
      <c r="U236" s="21">
        <v>5</v>
      </c>
      <c r="V236" s="21">
        <v>1</v>
      </c>
      <c r="W236" s="21">
        <v>8</v>
      </c>
      <c r="X236" s="21" t="s">
        <v>119</v>
      </c>
      <c r="Y236" s="21" t="s">
        <v>1144</v>
      </c>
      <c r="Z236" s="21" t="s">
        <v>803</v>
      </c>
    </row>
    <row r="237" spans="1:26" ht="12.75">
      <c r="A237" t="s">
        <v>541</v>
      </c>
      <c r="B237">
        <v>40</v>
      </c>
      <c r="L237" s="18" t="s">
        <v>1138</v>
      </c>
      <c r="M237" s="18">
        <v>8</v>
      </c>
      <c r="N237" s="18">
        <v>45</v>
      </c>
      <c r="O237" s="18">
        <v>4</v>
      </c>
      <c r="P237" s="18">
        <v>4</v>
      </c>
      <c r="Q237" s="18">
        <v>3</v>
      </c>
      <c r="R237" s="18">
        <v>3</v>
      </c>
      <c r="S237" s="18">
        <v>3</v>
      </c>
      <c r="T237" s="18">
        <v>1</v>
      </c>
      <c r="U237" s="18">
        <v>4</v>
      </c>
      <c r="V237" s="18">
        <v>1</v>
      </c>
      <c r="W237" s="18">
        <v>8</v>
      </c>
      <c r="X237" s="18" t="s">
        <v>1145</v>
      </c>
      <c r="Y237" s="18" t="s">
        <v>1144</v>
      </c>
      <c r="Z237" s="18" t="s">
        <v>1141</v>
      </c>
    </row>
    <row r="238" spans="1:26" ht="12.75">
      <c r="A238" t="s">
        <v>92</v>
      </c>
      <c r="B238">
        <v>50</v>
      </c>
      <c r="L238" s="18" t="s">
        <v>1139</v>
      </c>
      <c r="M238" s="18">
        <v>8</v>
      </c>
      <c r="N238" s="18">
        <v>55</v>
      </c>
      <c r="O238" s="18">
        <v>4</v>
      </c>
      <c r="P238" s="18" t="s">
        <v>1146</v>
      </c>
      <c r="Q238" s="18">
        <v>3</v>
      </c>
      <c r="R238" s="18" t="s">
        <v>1146</v>
      </c>
      <c r="S238" s="18" t="s">
        <v>1146</v>
      </c>
      <c r="T238" s="18">
        <v>1</v>
      </c>
      <c r="U238" s="18">
        <v>4</v>
      </c>
      <c r="V238" s="18" t="s">
        <v>1147</v>
      </c>
      <c r="W238" s="18">
        <v>7</v>
      </c>
      <c r="X238" s="18" t="s">
        <v>1148</v>
      </c>
      <c r="Y238" s="18" t="s">
        <v>430</v>
      </c>
      <c r="Z238" s="18" t="s">
        <v>1142</v>
      </c>
    </row>
    <row r="239" spans="1:26" ht="12.75">
      <c r="A239" t="s">
        <v>93</v>
      </c>
      <c r="B239">
        <v>30</v>
      </c>
      <c r="L239" s="18" t="s">
        <v>1167</v>
      </c>
      <c r="M239" s="18">
        <v>8</v>
      </c>
      <c r="N239" s="18">
        <v>45</v>
      </c>
      <c r="O239" s="18">
        <v>4</v>
      </c>
      <c r="P239" s="18">
        <v>4</v>
      </c>
      <c r="Q239" s="18">
        <v>3</v>
      </c>
      <c r="R239" s="18">
        <v>4</v>
      </c>
      <c r="S239" s="18">
        <v>3</v>
      </c>
      <c r="T239" s="18">
        <v>1</v>
      </c>
      <c r="U239" s="18">
        <v>4</v>
      </c>
      <c r="V239" s="18">
        <v>1</v>
      </c>
      <c r="W239" s="18">
        <v>7</v>
      </c>
      <c r="X239" s="18"/>
      <c r="Y239" s="18" t="s">
        <v>1144</v>
      </c>
      <c r="Z239" s="18" t="s">
        <v>1143</v>
      </c>
    </row>
    <row r="240" spans="1:25" ht="12.75">
      <c r="A240" t="s">
        <v>562</v>
      </c>
      <c r="B240">
        <v>65</v>
      </c>
      <c r="L240" t="s">
        <v>365</v>
      </c>
      <c r="M240">
        <v>0</v>
      </c>
      <c r="N240">
        <v>35</v>
      </c>
      <c r="O240">
        <v>4</v>
      </c>
      <c r="P240">
        <v>4</v>
      </c>
      <c r="Q240">
        <v>3</v>
      </c>
      <c r="R240">
        <v>3</v>
      </c>
      <c r="S240">
        <v>3</v>
      </c>
      <c r="T240">
        <v>1</v>
      </c>
      <c r="U240">
        <v>4</v>
      </c>
      <c r="V240">
        <v>1</v>
      </c>
      <c r="W240">
        <v>7</v>
      </c>
      <c r="Y240" t="s">
        <v>1149</v>
      </c>
    </row>
    <row r="241" spans="1:25" ht="12.75">
      <c r="A241" t="s">
        <v>94</v>
      </c>
      <c r="B241">
        <v>10</v>
      </c>
      <c r="L241" t="s">
        <v>221</v>
      </c>
      <c r="M241">
        <v>0</v>
      </c>
      <c r="N241">
        <v>15</v>
      </c>
      <c r="O241">
        <v>7</v>
      </c>
      <c r="P241">
        <v>4</v>
      </c>
      <c r="Q241">
        <v>0</v>
      </c>
      <c r="R241">
        <v>4</v>
      </c>
      <c r="S241">
        <v>3</v>
      </c>
      <c r="T241">
        <v>1</v>
      </c>
      <c r="U241">
        <v>3</v>
      </c>
      <c r="V241">
        <v>1</v>
      </c>
      <c r="W241">
        <v>5</v>
      </c>
      <c r="X241" t="s">
        <v>160</v>
      </c>
      <c r="Y241" t="s">
        <v>430</v>
      </c>
    </row>
    <row r="242" spans="1:25" ht="12.75">
      <c r="A242" t="s">
        <v>95</v>
      </c>
      <c r="B242">
        <v>30</v>
      </c>
      <c r="L242" t="s">
        <v>1140</v>
      </c>
      <c r="M242">
        <v>0</v>
      </c>
      <c r="N242">
        <v>180</v>
      </c>
      <c r="O242" t="s">
        <v>316</v>
      </c>
      <c r="P242">
        <v>3</v>
      </c>
      <c r="Q242">
        <v>0</v>
      </c>
      <c r="R242">
        <v>4</v>
      </c>
      <c r="S242">
        <v>5</v>
      </c>
      <c r="T242">
        <v>3</v>
      </c>
      <c r="U242">
        <v>2</v>
      </c>
      <c r="V242" t="s">
        <v>1150</v>
      </c>
      <c r="W242">
        <v>10</v>
      </c>
      <c r="X242" t="s">
        <v>1151</v>
      </c>
      <c r="Y242" s="20" t="s">
        <v>430</v>
      </c>
    </row>
    <row r="243" spans="1:2" ht="12.75">
      <c r="A243" t="s">
        <v>973</v>
      </c>
      <c r="B243">
        <v>30</v>
      </c>
    </row>
    <row r="244" spans="1:26" ht="12.75">
      <c r="A244" t="s">
        <v>96</v>
      </c>
      <c r="B244">
        <v>50</v>
      </c>
      <c r="L244" s="21" t="s">
        <v>1163</v>
      </c>
      <c r="M244" s="21">
        <v>20</v>
      </c>
      <c r="N244" s="21">
        <v>95</v>
      </c>
      <c r="O244" s="21">
        <v>4</v>
      </c>
      <c r="P244" s="21">
        <v>5</v>
      </c>
      <c r="Q244" s="21">
        <v>3</v>
      </c>
      <c r="R244" s="21">
        <v>4</v>
      </c>
      <c r="S244" s="21">
        <v>4</v>
      </c>
      <c r="T244" s="21">
        <v>1</v>
      </c>
      <c r="U244" s="21">
        <v>5</v>
      </c>
      <c r="V244" s="21">
        <v>1</v>
      </c>
      <c r="W244" s="21">
        <v>8</v>
      </c>
      <c r="X244" s="21" t="s">
        <v>119</v>
      </c>
      <c r="Y244" s="21" t="s">
        <v>1161</v>
      </c>
      <c r="Z244" s="21" t="s">
        <v>803</v>
      </c>
    </row>
    <row r="245" spans="1:26" ht="12.75">
      <c r="A245" t="s">
        <v>1063</v>
      </c>
      <c r="B245">
        <v>10</v>
      </c>
      <c r="L245" s="18" t="s">
        <v>1164</v>
      </c>
      <c r="M245" s="18">
        <v>8</v>
      </c>
      <c r="N245" s="18">
        <v>45</v>
      </c>
      <c r="O245" s="18">
        <v>4</v>
      </c>
      <c r="P245" s="18">
        <v>4</v>
      </c>
      <c r="Q245" s="18">
        <v>3</v>
      </c>
      <c r="R245" s="18">
        <v>3</v>
      </c>
      <c r="S245" s="18">
        <v>3</v>
      </c>
      <c r="T245" s="18">
        <v>1</v>
      </c>
      <c r="U245" s="18">
        <v>4</v>
      </c>
      <c r="V245" s="18">
        <v>1</v>
      </c>
      <c r="W245" s="18">
        <v>8</v>
      </c>
      <c r="X245" s="18" t="s">
        <v>1145</v>
      </c>
      <c r="Y245" s="18" t="s">
        <v>1161</v>
      </c>
      <c r="Z245" s="18" t="s">
        <v>1141</v>
      </c>
    </row>
    <row r="246" spans="1:26" ht="12.75">
      <c r="A246" t="s">
        <v>1064</v>
      </c>
      <c r="B246">
        <v>75</v>
      </c>
      <c r="L246" s="18" t="s">
        <v>1166</v>
      </c>
      <c r="M246" s="18">
        <v>8</v>
      </c>
      <c r="N246" s="18">
        <v>45</v>
      </c>
      <c r="O246" s="18">
        <v>4</v>
      </c>
      <c r="P246" s="18">
        <v>4</v>
      </c>
      <c r="Q246" s="18">
        <v>3</v>
      </c>
      <c r="R246" s="18">
        <v>4</v>
      </c>
      <c r="S246" s="18">
        <v>3</v>
      </c>
      <c r="T246" s="18">
        <v>1</v>
      </c>
      <c r="U246" s="18">
        <v>4</v>
      </c>
      <c r="V246" s="18">
        <v>1</v>
      </c>
      <c r="W246" s="18">
        <v>7</v>
      </c>
      <c r="X246" s="18"/>
      <c r="Y246" s="18" t="s">
        <v>1161</v>
      </c>
      <c r="Z246" s="18" t="s">
        <v>1143</v>
      </c>
    </row>
    <row r="247" spans="1:26" ht="12.75">
      <c r="A247" t="s">
        <v>638</v>
      </c>
      <c r="B247">
        <v>15</v>
      </c>
      <c r="L247" s="18" t="s">
        <v>1165</v>
      </c>
      <c r="M247" s="18">
        <v>8</v>
      </c>
      <c r="N247" s="18">
        <v>55</v>
      </c>
      <c r="O247" s="18">
        <v>4</v>
      </c>
      <c r="P247" s="18" t="s">
        <v>1146</v>
      </c>
      <c r="Q247" s="18">
        <v>3</v>
      </c>
      <c r="R247" s="18" t="s">
        <v>1146</v>
      </c>
      <c r="S247" s="18" t="s">
        <v>1146</v>
      </c>
      <c r="T247" s="18">
        <v>1</v>
      </c>
      <c r="U247" s="18">
        <v>4</v>
      </c>
      <c r="V247" s="18" t="s">
        <v>1147</v>
      </c>
      <c r="W247" s="18">
        <v>7</v>
      </c>
      <c r="X247" s="18" t="s">
        <v>1148</v>
      </c>
      <c r="Y247" s="18"/>
      <c r="Z247" s="18" t="s">
        <v>1142</v>
      </c>
    </row>
    <row r="248" spans="1:25" ht="12.75">
      <c r="A248" t="s">
        <v>429</v>
      </c>
      <c r="B248">
        <v>15</v>
      </c>
      <c r="L248" t="s">
        <v>1157</v>
      </c>
      <c r="M248">
        <v>0</v>
      </c>
      <c r="N248">
        <v>35</v>
      </c>
      <c r="O248">
        <v>4</v>
      </c>
      <c r="P248">
        <v>4</v>
      </c>
      <c r="Q248">
        <v>3</v>
      </c>
      <c r="R248">
        <v>3</v>
      </c>
      <c r="S248">
        <v>3</v>
      </c>
      <c r="T248">
        <v>1</v>
      </c>
      <c r="U248">
        <v>4</v>
      </c>
      <c r="V248">
        <v>1</v>
      </c>
      <c r="W248">
        <v>7</v>
      </c>
      <c r="Y248" t="s">
        <v>1162</v>
      </c>
    </row>
    <row r="249" spans="1:25" ht="12.75">
      <c r="A249" t="s">
        <v>428</v>
      </c>
      <c r="B249">
        <v>15</v>
      </c>
      <c r="L249" t="s">
        <v>1171</v>
      </c>
      <c r="M249">
        <v>0</v>
      </c>
      <c r="N249">
        <v>15</v>
      </c>
      <c r="O249">
        <v>7</v>
      </c>
      <c r="P249">
        <v>4</v>
      </c>
      <c r="Q249">
        <v>0</v>
      </c>
      <c r="R249">
        <v>4</v>
      </c>
      <c r="S249">
        <v>3</v>
      </c>
      <c r="T249">
        <v>1</v>
      </c>
      <c r="U249">
        <v>3</v>
      </c>
      <c r="V249">
        <v>1</v>
      </c>
      <c r="W249">
        <v>5</v>
      </c>
      <c r="X249" t="s">
        <v>160</v>
      </c>
      <c r="Y249" t="s">
        <v>430</v>
      </c>
    </row>
    <row r="250" spans="1:25" ht="12.75">
      <c r="A250" t="s">
        <v>1065</v>
      </c>
      <c r="B250">
        <v>200</v>
      </c>
      <c r="L250" t="s">
        <v>1172</v>
      </c>
      <c r="M250">
        <v>0</v>
      </c>
      <c r="N250">
        <v>180</v>
      </c>
      <c r="O250" t="s">
        <v>316</v>
      </c>
      <c r="P250">
        <v>3</v>
      </c>
      <c r="Q250">
        <v>0</v>
      </c>
      <c r="R250">
        <v>4</v>
      </c>
      <c r="S250">
        <v>5</v>
      </c>
      <c r="T250">
        <v>3</v>
      </c>
      <c r="U250">
        <v>2</v>
      </c>
      <c r="V250" t="s">
        <v>1150</v>
      </c>
      <c r="W250">
        <v>10</v>
      </c>
      <c r="X250" t="s">
        <v>1151</v>
      </c>
      <c r="Y250" s="20" t="s">
        <v>430</v>
      </c>
    </row>
    <row r="251" spans="1:2" ht="12.75">
      <c r="A251" t="s">
        <v>97</v>
      </c>
      <c r="B251">
        <v>2</v>
      </c>
    </row>
    <row r="252" spans="1:26" ht="12.75">
      <c r="A252" t="s">
        <v>559</v>
      </c>
      <c r="B252">
        <v>5</v>
      </c>
      <c r="L252" s="21" t="s">
        <v>1173</v>
      </c>
      <c r="M252" s="21">
        <v>20</v>
      </c>
      <c r="N252" s="21">
        <v>95</v>
      </c>
      <c r="O252" s="21">
        <v>4</v>
      </c>
      <c r="P252" s="21">
        <v>5</v>
      </c>
      <c r="Q252" s="21">
        <v>3</v>
      </c>
      <c r="R252" s="21">
        <v>4</v>
      </c>
      <c r="S252" s="21">
        <v>4</v>
      </c>
      <c r="T252" s="21">
        <v>1</v>
      </c>
      <c r="U252" s="21">
        <v>5</v>
      </c>
      <c r="V252" s="21">
        <v>1</v>
      </c>
      <c r="W252" s="21">
        <v>8</v>
      </c>
      <c r="X252" s="21" t="s">
        <v>119</v>
      </c>
      <c r="Y252" s="21" t="s">
        <v>1174</v>
      </c>
      <c r="Z252" s="21" t="s">
        <v>803</v>
      </c>
    </row>
    <row r="253" spans="1:26" ht="12.75">
      <c r="A253" t="s">
        <v>1207</v>
      </c>
      <c r="B253">
        <v>180</v>
      </c>
      <c r="L253" s="18" t="s">
        <v>1175</v>
      </c>
      <c r="M253" s="18">
        <v>8</v>
      </c>
      <c r="N253" s="18">
        <v>45</v>
      </c>
      <c r="O253" s="18">
        <v>4</v>
      </c>
      <c r="P253" s="18">
        <v>4</v>
      </c>
      <c r="Q253" s="18">
        <v>3</v>
      </c>
      <c r="R253" s="18">
        <v>3</v>
      </c>
      <c r="S253" s="18">
        <v>3</v>
      </c>
      <c r="T253" s="18">
        <v>1</v>
      </c>
      <c r="U253" s="18">
        <v>4</v>
      </c>
      <c r="V253" s="18">
        <v>1</v>
      </c>
      <c r="W253" s="18">
        <v>8</v>
      </c>
      <c r="X253" s="18" t="s">
        <v>1145</v>
      </c>
      <c r="Y253" s="18" t="s">
        <v>1174</v>
      </c>
      <c r="Z253" s="18" t="s">
        <v>1141</v>
      </c>
    </row>
    <row r="254" spans="1:26" ht="12.75">
      <c r="A254" t="s">
        <v>968</v>
      </c>
      <c r="B254">
        <v>15</v>
      </c>
      <c r="L254" s="18" t="s">
        <v>1176</v>
      </c>
      <c r="M254" s="18">
        <v>8</v>
      </c>
      <c r="N254" s="18">
        <v>45</v>
      </c>
      <c r="O254" s="18">
        <v>4</v>
      </c>
      <c r="P254" s="18">
        <v>4</v>
      </c>
      <c r="Q254" s="18">
        <v>3</v>
      </c>
      <c r="R254" s="18">
        <v>4</v>
      </c>
      <c r="S254" s="18">
        <v>3</v>
      </c>
      <c r="T254" s="18">
        <v>1</v>
      </c>
      <c r="U254" s="18">
        <v>4</v>
      </c>
      <c r="V254" s="18">
        <v>1</v>
      </c>
      <c r="W254" s="18">
        <v>7</v>
      </c>
      <c r="X254" s="18"/>
      <c r="Y254" s="18" t="s">
        <v>1174</v>
      </c>
      <c r="Z254" s="18" t="s">
        <v>1143</v>
      </c>
    </row>
    <row r="255" spans="1:26" ht="12.75">
      <c r="A255" t="s">
        <v>644</v>
      </c>
      <c r="B255">
        <v>35</v>
      </c>
      <c r="L255" s="18" t="s">
        <v>1177</v>
      </c>
      <c r="M255" s="18">
        <v>8</v>
      </c>
      <c r="N255" s="18">
        <v>55</v>
      </c>
      <c r="O255" s="18">
        <v>4</v>
      </c>
      <c r="P255" s="18" t="s">
        <v>1146</v>
      </c>
      <c r="Q255" s="18">
        <v>3</v>
      </c>
      <c r="R255" s="18" t="s">
        <v>1146</v>
      </c>
      <c r="S255" s="18" t="s">
        <v>1146</v>
      </c>
      <c r="T255" s="18">
        <v>1</v>
      </c>
      <c r="U255" s="18">
        <v>4</v>
      </c>
      <c r="V255" s="18" t="s">
        <v>1147</v>
      </c>
      <c r="W255" s="18">
        <v>7</v>
      </c>
      <c r="X255" s="18" t="s">
        <v>1148</v>
      </c>
      <c r="Y255" s="18"/>
      <c r="Z255" s="18" t="s">
        <v>1142</v>
      </c>
    </row>
    <row r="256" spans="1:25" ht="12.75">
      <c r="A256" t="s">
        <v>1048</v>
      </c>
      <c r="B256">
        <v>15</v>
      </c>
      <c r="L256" t="s">
        <v>1159</v>
      </c>
      <c r="M256">
        <v>0</v>
      </c>
      <c r="N256">
        <v>35</v>
      </c>
      <c r="O256">
        <v>4</v>
      </c>
      <c r="P256">
        <v>4</v>
      </c>
      <c r="Q256">
        <v>3</v>
      </c>
      <c r="R256">
        <v>3</v>
      </c>
      <c r="S256">
        <v>3</v>
      </c>
      <c r="T256">
        <v>1</v>
      </c>
      <c r="U256">
        <v>4</v>
      </c>
      <c r="V256">
        <v>1</v>
      </c>
      <c r="W256">
        <v>7</v>
      </c>
      <c r="Y256" t="s">
        <v>1178</v>
      </c>
    </row>
    <row r="257" spans="1:25" ht="12.75">
      <c r="A257" t="s">
        <v>1066</v>
      </c>
      <c r="B257">
        <v>20</v>
      </c>
      <c r="L257" t="s">
        <v>1179</v>
      </c>
      <c r="M257">
        <v>0</v>
      </c>
      <c r="N257">
        <v>15</v>
      </c>
      <c r="O257">
        <v>7</v>
      </c>
      <c r="P257">
        <v>4</v>
      </c>
      <c r="Q257">
        <v>0</v>
      </c>
      <c r="R257">
        <v>4</v>
      </c>
      <c r="S257">
        <v>3</v>
      </c>
      <c r="T257">
        <v>1</v>
      </c>
      <c r="U257">
        <v>3</v>
      </c>
      <c r="V257">
        <v>1</v>
      </c>
      <c r="W257">
        <v>5</v>
      </c>
      <c r="X257" t="s">
        <v>160</v>
      </c>
      <c r="Y257" t="s">
        <v>430</v>
      </c>
    </row>
    <row r="258" spans="1:25" ht="12.75">
      <c r="A258" t="s">
        <v>1067</v>
      </c>
      <c r="B258">
        <v>35</v>
      </c>
      <c r="L258" t="s">
        <v>1180</v>
      </c>
      <c r="M258">
        <v>0</v>
      </c>
      <c r="N258">
        <v>180</v>
      </c>
      <c r="O258" t="s">
        <v>316</v>
      </c>
      <c r="P258">
        <v>3</v>
      </c>
      <c r="Q258">
        <v>0</v>
      </c>
      <c r="R258">
        <v>4</v>
      </c>
      <c r="S258">
        <v>5</v>
      </c>
      <c r="T258">
        <v>3</v>
      </c>
      <c r="U258">
        <v>2</v>
      </c>
      <c r="V258" t="s">
        <v>1150</v>
      </c>
      <c r="W258">
        <v>10</v>
      </c>
      <c r="X258" t="s">
        <v>1151</v>
      </c>
      <c r="Y258" s="20" t="s">
        <v>430</v>
      </c>
    </row>
    <row r="259" spans="1:2" ht="12.75">
      <c r="A259" t="s">
        <v>1068</v>
      </c>
      <c r="B259">
        <v>30</v>
      </c>
    </row>
    <row r="260" spans="1:26" ht="12.75">
      <c r="A260" t="s">
        <v>665</v>
      </c>
      <c r="B260">
        <v>25</v>
      </c>
      <c r="L260" s="21" t="s">
        <v>1189</v>
      </c>
      <c r="M260" s="21">
        <v>20</v>
      </c>
      <c r="N260" s="21">
        <v>50</v>
      </c>
      <c r="O260" s="21">
        <v>4</v>
      </c>
      <c r="P260" s="21">
        <v>2</v>
      </c>
      <c r="Q260" s="21">
        <v>3</v>
      </c>
      <c r="R260" s="21">
        <v>3</v>
      </c>
      <c r="S260" s="21">
        <v>3</v>
      </c>
      <c r="T260" s="21">
        <v>1</v>
      </c>
      <c r="U260" s="21">
        <v>3</v>
      </c>
      <c r="V260" s="21">
        <v>1</v>
      </c>
      <c r="W260" s="21">
        <v>8</v>
      </c>
      <c r="X260" s="21" t="s">
        <v>1189</v>
      </c>
      <c r="Y260" s="21" t="s">
        <v>1197</v>
      </c>
      <c r="Z260" s="21" t="s">
        <v>1195</v>
      </c>
    </row>
    <row r="261" spans="1:26" ht="12.75">
      <c r="A261" t="s">
        <v>1069</v>
      </c>
      <c r="B261">
        <v>25</v>
      </c>
      <c r="L261" s="18" t="s">
        <v>1190</v>
      </c>
      <c r="M261" s="18">
        <v>0</v>
      </c>
      <c r="N261" s="18">
        <v>15</v>
      </c>
      <c r="O261" s="18">
        <v>4</v>
      </c>
      <c r="P261" s="18">
        <v>2</v>
      </c>
      <c r="Q261" s="18">
        <v>2</v>
      </c>
      <c r="R261" s="18">
        <v>3</v>
      </c>
      <c r="S261" s="18">
        <v>3</v>
      </c>
      <c r="T261" s="18">
        <v>1</v>
      </c>
      <c r="U261" s="18">
        <v>3</v>
      </c>
      <c r="V261" s="18">
        <v>1</v>
      </c>
      <c r="W261" s="18">
        <v>6</v>
      </c>
      <c r="X261" s="18"/>
      <c r="Y261" s="18" t="s">
        <v>1197</v>
      </c>
      <c r="Z261" s="18" t="s">
        <v>1196</v>
      </c>
    </row>
    <row r="262" spans="1:26" ht="12.75">
      <c r="A262" t="s">
        <v>98</v>
      </c>
      <c r="B262">
        <v>80</v>
      </c>
      <c r="L262" s="18" t="s">
        <v>1191</v>
      </c>
      <c r="M262" s="18">
        <v>8</v>
      </c>
      <c r="N262" s="18">
        <v>45</v>
      </c>
      <c r="O262" s="18">
        <v>4</v>
      </c>
      <c r="P262" s="18">
        <v>4</v>
      </c>
      <c r="Q262" s="18">
        <v>3</v>
      </c>
      <c r="R262" s="18">
        <v>3</v>
      </c>
      <c r="S262" s="18">
        <v>3</v>
      </c>
      <c r="T262" s="18">
        <v>1</v>
      </c>
      <c r="U262" s="18">
        <v>4</v>
      </c>
      <c r="V262" s="18">
        <v>1</v>
      </c>
      <c r="W262" s="18">
        <v>7</v>
      </c>
      <c r="X262" s="18" t="s">
        <v>1198</v>
      </c>
      <c r="Y262" s="18" t="s">
        <v>1199</v>
      </c>
      <c r="Z262" s="18" t="s">
        <v>801</v>
      </c>
    </row>
    <row r="263" spans="1:26" ht="12.75">
      <c r="A263" t="s">
        <v>99</v>
      </c>
      <c r="B263">
        <v>35</v>
      </c>
      <c r="L263" s="18" t="s">
        <v>1192</v>
      </c>
      <c r="M263" s="18">
        <v>8</v>
      </c>
      <c r="N263" s="18">
        <v>40</v>
      </c>
      <c r="O263" s="18">
        <v>4</v>
      </c>
      <c r="P263" s="18">
        <v>2</v>
      </c>
      <c r="Q263" s="18">
        <v>2</v>
      </c>
      <c r="R263" s="18">
        <v>3</v>
      </c>
      <c r="S263" s="18">
        <v>3</v>
      </c>
      <c r="T263" s="18">
        <v>1</v>
      </c>
      <c r="U263" s="18">
        <v>4</v>
      </c>
      <c r="V263" s="18">
        <v>1</v>
      </c>
      <c r="W263" s="18">
        <v>8</v>
      </c>
      <c r="X263" s="18" t="s">
        <v>1200</v>
      </c>
      <c r="Y263" s="18" t="s">
        <v>1197</v>
      </c>
      <c r="Z263" s="18" t="s">
        <v>588</v>
      </c>
    </row>
    <row r="264" spans="1:25" ht="12.75">
      <c r="A264" t="s">
        <v>100</v>
      </c>
      <c r="B264">
        <v>70</v>
      </c>
      <c r="L264" t="s">
        <v>1193</v>
      </c>
      <c r="M264">
        <v>0</v>
      </c>
      <c r="N264">
        <v>25</v>
      </c>
      <c r="O264">
        <v>4</v>
      </c>
      <c r="P264">
        <v>3</v>
      </c>
      <c r="Q264">
        <v>3</v>
      </c>
      <c r="R264">
        <v>3</v>
      </c>
      <c r="S264">
        <v>3</v>
      </c>
      <c r="T264">
        <v>1</v>
      </c>
      <c r="U264">
        <v>3</v>
      </c>
      <c r="V264">
        <v>1</v>
      </c>
      <c r="W264">
        <v>7</v>
      </c>
      <c r="Y264" t="s">
        <v>1210</v>
      </c>
    </row>
    <row r="265" spans="1:25" ht="12.75">
      <c r="A265" t="s">
        <v>101</v>
      </c>
      <c r="B265">
        <v>50</v>
      </c>
      <c r="L265" t="s">
        <v>1194</v>
      </c>
      <c r="M265">
        <v>0</v>
      </c>
      <c r="N265">
        <v>30</v>
      </c>
      <c r="O265">
        <v>4</v>
      </c>
      <c r="P265">
        <v>3</v>
      </c>
      <c r="Q265">
        <v>4</v>
      </c>
      <c r="R265">
        <v>3</v>
      </c>
      <c r="S265">
        <v>3</v>
      </c>
      <c r="T265">
        <v>1</v>
      </c>
      <c r="U265">
        <v>3</v>
      </c>
      <c r="V265">
        <v>1</v>
      </c>
      <c r="W265">
        <v>7</v>
      </c>
      <c r="Y265" t="s">
        <v>1201</v>
      </c>
    </row>
    <row r="266" spans="1:25" ht="12.75">
      <c r="A266" t="s">
        <v>647</v>
      </c>
      <c r="B266">
        <v>30</v>
      </c>
      <c r="L266" s="20" t="s">
        <v>1204</v>
      </c>
      <c r="M266" s="20">
        <v>0</v>
      </c>
      <c r="N266">
        <v>35</v>
      </c>
      <c r="O266">
        <v>4</v>
      </c>
      <c r="P266">
        <v>3</v>
      </c>
      <c r="Q266">
        <v>3</v>
      </c>
      <c r="R266">
        <v>3</v>
      </c>
      <c r="S266">
        <v>3</v>
      </c>
      <c r="T266">
        <v>1</v>
      </c>
      <c r="U266">
        <v>3</v>
      </c>
      <c r="V266">
        <v>1</v>
      </c>
      <c r="W266">
        <v>7</v>
      </c>
      <c r="X266" t="s">
        <v>1202</v>
      </c>
      <c r="Y266" t="s">
        <v>1203</v>
      </c>
    </row>
    <row r="267" spans="1:2" ht="12.75">
      <c r="A267" t="s">
        <v>1359</v>
      </c>
      <c r="B267">
        <v>5</v>
      </c>
    </row>
    <row r="268" spans="1:26" ht="12.75">
      <c r="A268" t="s">
        <v>102</v>
      </c>
      <c r="B268">
        <v>10</v>
      </c>
      <c r="L268" s="21" t="s">
        <v>1215</v>
      </c>
      <c r="M268" s="21">
        <v>20</v>
      </c>
      <c r="N268" s="21">
        <v>60</v>
      </c>
      <c r="O268" s="21">
        <v>4</v>
      </c>
      <c r="P268" s="21">
        <v>3</v>
      </c>
      <c r="Q268" s="21">
        <v>4</v>
      </c>
      <c r="R268" s="21">
        <v>3</v>
      </c>
      <c r="S268" s="21">
        <v>3</v>
      </c>
      <c r="T268" s="21">
        <v>1</v>
      </c>
      <c r="U268" s="21">
        <v>4</v>
      </c>
      <c r="V268" s="21">
        <v>1</v>
      </c>
      <c r="W268" s="21">
        <v>8</v>
      </c>
      <c r="X268" s="21" t="s">
        <v>1221</v>
      </c>
      <c r="Y268" s="21" t="s">
        <v>1227</v>
      </c>
      <c r="Z268" s="21" t="s">
        <v>1220</v>
      </c>
    </row>
    <row r="269" spans="1:26" ht="12.75">
      <c r="A269" t="s">
        <v>1262</v>
      </c>
      <c r="B269">
        <v>0</v>
      </c>
      <c r="L269" s="18" t="s">
        <v>1216</v>
      </c>
      <c r="M269" s="18">
        <v>12</v>
      </c>
      <c r="N269" s="18">
        <v>40</v>
      </c>
      <c r="O269" s="18">
        <v>4</v>
      </c>
      <c r="P269" s="18">
        <v>4</v>
      </c>
      <c r="Q269" s="18">
        <v>3</v>
      </c>
      <c r="R269" s="18">
        <v>3</v>
      </c>
      <c r="S269" s="18">
        <v>3</v>
      </c>
      <c r="T269" s="18">
        <v>1</v>
      </c>
      <c r="U269" s="18">
        <v>4</v>
      </c>
      <c r="V269" s="18">
        <v>1</v>
      </c>
      <c r="W269" s="18">
        <v>7</v>
      </c>
      <c r="X269" s="18"/>
      <c r="Y269" s="18" t="s">
        <v>1222</v>
      </c>
      <c r="Z269" s="18" t="s">
        <v>807</v>
      </c>
    </row>
    <row r="270" spans="1:26" ht="12.75">
      <c r="A270" t="s">
        <v>962</v>
      </c>
      <c r="B270">
        <v>25</v>
      </c>
      <c r="L270" s="18" t="s">
        <v>1217</v>
      </c>
      <c r="M270" s="18">
        <v>15</v>
      </c>
      <c r="N270" s="18">
        <v>55</v>
      </c>
      <c r="O270" s="18">
        <v>4</v>
      </c>
      <c r="P270" s="18">
        <v>4</v>
      </c>
      <c r="Q270" s="18">
        <v>3</v>
      </c>
      <c r="R270" s="18">
        <v>3</v>
      </c>
      <c r="S270" s="18">
        <v>3</v>
      </c>
      <c r="T270" s="18">
        <v>1</v>
      </c>
      <c r="U270" s="18">
        <v>4</v>
      </c>
      <c r="V270" s="18">
        <v>1</v>
      </c>
      <c r="W270" s="18">
        <v>8</v>
      </c>
      <c r="X270" s="18" t="s">
        <v>1223</v>
      </c>
      <c r="Y270" s="18" t="s">
        <v>1224</v>
      </c>
      <c r="Z270" s="18" t="s">
        <v>792</v>
      </c>
    </row>
    <row r="271" spans="1:25" ht="12.75">
      <c r="A271" t="s">
        <v>1070</v>
      </c>
      <c r="B271">
        <v>25</v>
      </c>
      <c r="L271" t="s">
        <v>1218</v>
      </c>
      <c r="M271">
        <v>0</v>
      </c>
      <c r="N271">
        <v>25</v>
      </c>
      <c r="O271">
        <v>4</v>
      </c>
      <c r="P271">
        <v>3</v>
      </c>
      <c r="Q271">
        <v>3</v>
      </c>
      <c r="R271">
        <v>3</v>
      </c>
      <c r="S271">
        <v>3</v>
      </c>
      <c r="T271">
        <v>1</v>
      </c>
      <c r="U271">
        <v>3</v>
      </c>
      <c r="V271">
        <v>1</v>
      </c>
      <c r="W271">
        <v>7</v>
      </c>
      <c r="Y271" t="s">
        <v>1222</v>
      </c>
    </row>
    <row r="272" spans="12:25" ht="12.75">
      <c r="L272" t="s">
        <v>1219</v>
      </c>
      <c r="M272">
        <v>0</v>
      </c>
      <c r="N272">
        <v>35</v>
      </c>
      <c r="O272">
        <v>4</v>
      </c>
      <c r="P272">
        <v>3</v>
      </c>
      <c r="Q272">
        <v>3</v>
      </c>
      <c r="R272">
        <v>3</v>
      </c>
      <c r="S272">
        <v>3</v>
      </c>
      <c r="T272">
        <v>1</v>
      </c>
      <c r="U272">
        <v>4</v>
      </c>
      <c r="V272">
        <v>1</v>
      </c>
      <c r="W272">
        <v>7</v>
      </c>
      <c r="Y272" t="s">
        <v>1224</v>
      </c>
    </row>
    <row r="273" spans="12:25" ht="12.75">
      <c r="L273" t="s">
        <v>1225</v>
      </c>
      <c r="M273">
        <v>0</v>
      </c>
      <c r="N273">
        <v>10</v>
      </c>
      <c r="O273">
        <v>4</v>
      </c>
      <c r="P273">
        <v>2</v>
      </c>
      <c r="Q273">
        <v>2</v>
      </c>
      <c r="R273">
        <v>3</v>
      </c>
      <c r="S273">
        <v>3</v>
      </c>
      <c r="T273">
        <v>1</v>
      </c>
      <c r="U273">
        <v>3</v>
      </c>
      <c r="V273">
        <v>1</v>
      </c>
      <c r="W273">
        <v>6</v>
      </c>
      <c r="X273" t="s">
        <v>1226</v>
      </c>
      <c r="Y273" t="s">
        <v>430</v>
      </c>
    </row>
    <row r="275" spans="12:26" ht="12.75">
      <c r="L275" s="21" t="s">
        <v>1243</v>
      </c>
      <c r="M275" s="21">
        <v>20</v>
      </c>
      <c r="N275" s="21">
        <v>60</v>
      </c>
      <c r="O275" s="21">
        <v>5</v>
      </c>
      <c r="P275" s="21">
        <v>3</v>
      </c>
      <c r="Q275" s="21">
        <v>2</v>
      </c>
      <c r="R275" s="21">
        <v>3</v>
      </c>
      <c r="S275" s="21">
        <v>4</v>
      </c>
      <c r="T275" s="21">
        <v>2</v>
      </c>
      <c r="U275" s="21">
        <v>4</v>
      </c>
      <c r="V275" s="21">
        <v>3</v>
      </c>
      <c r="W275" s="21">
        <v>6</v>
      </c>
      <c r="X275" s="21" t="s">
        <v>1244</v>
      </c>
      <c r="Y275" s="21" t="s">
        <v>430</v>
      </c>
      <c r="Z275" s="21" t="s">
        <v>1245</v>
      </c>
    </row>
    <row r="276" spans="12:26" ht="12.75">
      <c r="L276" s="18" t="s">
        <v>1249</v>
      </c>
      <c r="M276" s="18">
        <v>8</v>
      </c>
      <c r="N276" s="18">
        <v>55</v>
      </c>
      <c r="O276" s="18">
        <v>5</v>
      </c>
      <c r="P276" s="18">
        <v>2</v>
      </c>
      <c r="Q276" s="18">
        <v>2</v>
      </c>
      <c r="R276" s="18">
        <v>4</v>
      </c>
      <c r="S276" s="18">
        <v>4</v>
      </c>
      <c r="T276" s="18">
        <v>2</v>
      </c>
      <c r="U276" s="18">
        <v>3</v>
      </c>
      <c r="V276" s="18">
        <v>3</v>
      </c>
      <c r="W276" s="18">
        <v>5</v>
      </c>
      <c r="X276" s="18" t="s">
        <v>1246</v>
      </c>
      <c r="Y276" s="18" t="s">
        <v>430</v>
      </c>
      <c r="Z276" s="18" t="s">
        <v>1247</v>
      </c>
    </row>
    <row r="277" spans="12:25" ht="12.75">
      <c r="L277" t="s">
        <v>1248</v>
      </c>
      <c r="M277">
        <v>0</v>
      </c>
      <c r="N277">
        <v>40</v>
      </c>
      <c r="O277">
        <v>4</v>
      </c>
      <c r="P277">
        <v>2</v>
      </c>
      <c r="Q277">
        <v>2</v>
      </c>
      <c r="R277">
        <v>3</v>
      </c>
      <c r="S277">
        <v>4</v>
      </c>
      <c r="T277">
        <v>1</v>
      </c>
      <c r="U277">
        <v>3</v>
      </c>
      <c r="V277">
        <v>2</v>
      </c>
      <c r="W277">
        <v>5</v>
      </c>
      <c r="X277" t="s">
        <v>1246</v>
      </c>
      <c r="Y277" t="s">
        <v>430</v>
      </c>
    </row>
    <row r="279" spans="12:25" ht="12.75">
      <c r="L279" s="21" t="s">
        <v>1323</v>
      </c>
      <c r="M279" s="21">
        <v>0</v>
      </c>
      <c r="N279" s="21">
        <v>85</v>
      </c>
      <c r="O279" s="21">
        <v>9</v>
      </c>
      <c r="P279" s="21">
        <v>5</v>
      </c>
      <c r="Q279" s="21">
        <v>0</v>
      </c>
      <c r="R279" s="21">
        <v>4</v>
      </c>
      <c r="S279" s="21">
        <v>3</v>
      </c>
      <c r="T279" s="21">
        <v>1</v>
      </c>
      <c r="U279" s="21">
        <v>3</v>
      </c>
      <c r="V279" s="21">
        <v>1</v>
      </c>
      <c r="W279" s="21">
        <v>5</v>
      </c>
      <c r="X279" s="21" t="s">
        <v>1324</v>
      </c>
      <c r="Y279" s="21" t="s">
        <v>430</v>
      </c>
    </row>
    <row r="280" spans="11:25" ht="12.75">
      <c r="K280">
        <v>2</v>
      </c>
      <c r="L280" s="18" t="s">
        <v>1329</v>
      </c>
      <c r="M280" s="18">
        <v>0</v>
      </c>
      <c r="N280" s="18">
        <v>50</v>
      </c>
      <c r="O280" s="18">
        <v>9</v>
      </c>
      <c r="P280" s="18">
        <v>3</v>
      </c>
      <c r="Q280" s="18">
        <v>0</v>
      </c>
      <c r="R280" s="18">
        <v>4</v>
      </c>
      <c r="S280" s="18">
        <v>3</v>
      </c>
      <c r="T280" s="18">
        <v>1</v>
      </c>
      <c r="U280" s="18">
        <v>2</v>
      </c>
      <c r="V280" s="18">
        <v>1</v>
      </c>
      <c r="W280" s="18">
        <v>4</v>
      </c>
      <c r="X280" s="26" t="s">
        <v>1325</v>
      </c>
      <c r="Y280" s="19" t="s">
        <v>430</v>
      </c>
    </row>
    <row r="281" spans="11:25" ht="12.75">
      <c r="K281">
        <v>1</v>
      </c>
      <c r="L281" s="18" t="s">
        <v>1328</v>
      </c>
      <c r="M281" s="18">
        <v>0</v>
      </c>
      <c r="N281" s="18">
        <v>25</v>
      </c>
      <c r="O281" s="18">
        <v>6</v>
      </c>
      <c r="P281" s="18">
        <v>4</v>
      </c>
      <c r="Q281" s="18">
        <v>0</v>
      </c>
      <c r="R281" s="18">
        <v>4</v>
      </c>
      <c r="S281" s="18">
        <v>4</v>
      </c>
      <c r="T281" s="18">
        <v>1</v>
      </c>
      <c r="U281" s="18">
        <v>4</v>
      </c>
      <c r="V281" s="18">
        <v>2</v>
      </c>
      <c r="W281" s="18">
        <v>5</v>
      </c>
      <c r="X281" s="26" t="s">
        <v>1261</v>
      </c>
      <c r="Y281" s="19" t="s">
        <v>1265</v>
      </c>
    </row>
    <row r="282" spans="11:25" ht="12.75">
      <c r="K282" t="s">
        <v>1339</v>
      </c>
      <c r="L282" t="s">
        <v>1326</v>
      </c>
      <c r="M282">
        <v>0</v>
      </c>
      <c r="N282">
        <v>15</v>
      </c>
      <c r="O282">
        <v>6</v>
      </c>
      <c r="P282">
        <v>4</v>
      </c>
      <c r="Q282">
        <v>0</v>
      </c>
      <c r="R282">
        <v>4</v>
      </c>
      <c r="S282">
        <v>3</v>
      </c>
      <c r="T282">
        <v>1</v>
      </c>
      <c r="U282">
        <v>4</v>
      </c>
      <c r="V282">
        <v>1</v>
      </c>
      <c r="W282">
        <v>5</v>
      </c>
      <c r="X282" s="27" t="s">
        <v>160</v>
      </c>
      <c r="Y282" s="17" t="s">
        <v>430</v>
      </c>
    </row>
    <row r="283" spans="11:25" ht="12.75">
      <c r="K283">
        <v>5</v>
      </c>
      <c r="L283" t="s">
        <v>1327</v>
      </c>
      <c r="M283">
        <v>0</v>
      </c>
      <c r="N283">
        <v>15</v>
      </c>
      <c r="O283">
        <v>9</v>
      </c>
      <c r="P283">
        <v>3</v>
      </c>
      <c r="Q283">
        <v>0</v>
      </c>
      <c r="R283">
        <v>3</v>
      </c>
      <c r="S283">
        <v>3</v>
      </c>
      <c r="T283">
        <v>1</v>
      </c>
      <c r="U283">
        <v>3</v>
      </c>
      <c r="V283">
        <v>1</v>
      </c>
      <c r="W283">
        <v>5</v>
      </c>
      <c r="X283" s="28" t="s">
        <v>160</v>
      </c>
      <c r="Y283" t="s">
        <v>430</v>
      </c>
    </row>
    <row r="285" spans="12:26" ht="12.75">
      <c r="L285" s="21" t="s">
        <v>1330</v>
      </c>
      <c r="M285" s="21">
        <v>20</v>
      </c>
      <c r="N285" s="21">
        <v>100</v>
      </c>
      <c r="O285" s="21">
        <v>4</v>
      </c>
      <c r="P285" s="21">
        <v>4</v>
      </c>
      <c r="Q285" s="21">
        <v>4</v>
      </c>
      <c r="R285" s="21">
        <v>4</v>
      </c>
      <c r="S285" s="21">
        <v>4</v>
      </c>
      <c r="T285" s="21">
        <v>1</v>
      </c>
      <c r="U285" s="21">
        <v>3</v>
      </c>
      <c r="V285" s="21">
        <v>1</v>
      </c>
      <c r="W285" s="21">
        <v>8</v>
      </c>
      <c r="X285" s="21" t="s">
        <v>181</v>
      </c>
      <c r="Y285" s="21" t="s">
        <v>1337</v>
      </c>
      <c r="Z285" s="21" t="s">
        <v>1331</v>
      </c>
    </row>
    <row r="286" spans="11:26" ht="12.75">
      <c r="K286">
        <v>3</v>
      </c>
      <c r="L286" s="18" t="s">
        <v>1338</v>
      </c>
      <c r="M286" s="18">
        <v>8</v>
      </c>
      <c r="N286" s="18">
        <v>45</v>
      </c>
      <c r="O286" s="18">
        <v>4</v>
      </c>
      <c r="P286" s="18">
        <v>3</v>
      </c>
      <c r="Q286" s="18">
        <v>3</v>
      </c>
      <c r="R286" s="18">
        <v>3</v>
      </c>
      <c r="S286" s="18">
        <v>3</v>
      </c>
      <c r="T286" s="18">
        <v>1</v>
      </c>
      <c r="U286" s="18">
        <v>3</v>
      </c>
      <c r="V286" s="18">
        <v>1</v>
      </c>
      <c r="W286" s="18">
        <v>7</v>
      </c>
      <c r="X286" s="18"/>
      <c r="Y286" s="18" t="s">
        <v>1337</v>
      </c>
      <c r="Z286" s="18" t="s">
        <v>713</v>
      </c>
    </row>
    <row r="287" spans="11:25" ht="12.75">
      <c r="K287">
        <v>5</v>
      </c>
      <c r="L287" t="s">
        <v>1319</v>
      </c>
      <c r="M287">
        <v>0</v>
      </c>
      <c r="N287">
        <v>35</v>
      </c>
      <c r="O287">
        <v>4</v>
      </c>
      <c r="P287">
        <v>2</v>
      </c>
      <c r="Q287">
        <v>2</v>
      </c>
      <c r="R287">
        <v>3</v>
      </c>
      <c r="S287">
        <v>3</v>
      </c>
      <c r="T287">
        <v>1</v>
      </c>
      <c r="U287">
        <v>2</v>
      </c>
      <c r="V287">
        <v>1</v>
      </c>
      <c r="W287">
        <v>6</v>
      </c>
      <c r="Y287" t="s">
        <v>1337</v>
      </c>
    </row>
    <row r="288" spans="11:24" ht="12.75">
      <c r="K288" t="s">
        <v>1339</v>
      </c>
      <c r="L288" t="s">
        <v>1332</v>
      </c>
      <c r="M288">
        <v>0</v>
      </c>
      <c r="N288">
        <v>15</v>
      </c>
      <c r="O288">
        <v>4</v>
      </c>
      <c r="P288">
        <v>2</v>
      </c>
      <c r="Q288">
        <v>0</v>
      </c>
      <c r="R288">
        <v>3</v>
      </c>
      <c r="S288">
        <v>3</v>
      </c>
      <c r="T288">
        <v>1</v>
      </c>
      <c r="U288">
        <v>2</v>
      </c>
      <c r="V288">
        <v>1</v>
      </c>
      <c r="W288">
        <v>5</v>
      </c>
      <c r="X288" t="s">
        <v>1333</v>
      </c>
    </row>
    <row r="290" spans="12:26" ht="12.75">
      <c r="L290" s="21" t="s">
        <v>1345</v>
      </c>
      <c r="M290" s="21">
        <v>20</v>
      </c>
      <c r="N290" s="21">
        <v>60</v>
      </c>
      <c r="O290" s="21">
        <v>4</v>
      </c>
      <c r="P290" s="21">
        <v>4</v>
      </c>
      <c r="Q290" s="21">
        <v>4</v>
      </c>
      <c r="R290" s="21">
        <v>3</v>
      </c>
      <c r="S290" s="21">
        <v>3</v>
      </c>
      <c r="T290" s="21">
        <v>1</v>
      </c>
      <c r="U290" s="21">
        <v>4</v>
      </c>
      <c r="V290" s="21">
        <v>1</v>
      </c>
      <c r="W290" s="21">
        <v>8</v>
      </c>
      <c r="X290" s="21" t="s">
        <v>1351</v>
      </c>
      <c r="Y290" s="21" t="s">
        <v>1354</v>
      </c>
      <c r="Z290" s="21" t="s">
        <v>1362</v>
      </c>
    </row>
    <row r="291" spans="11:26" ht="12.75">
      <c r="K291">
        <v>2</v>
      </c>
      <c r="L291" s="18" t="s">
        <v>1346</v>
      </c>
      <c r="M291" s="18">
        <v>8</v>
      </c>
      <c r="N291" s="18">
        <v>35</v>
      </c>
      <c r="O291" s="18">
        <v>4</v>
      </c>
      <c r="P291" s="18">
        <v>4</v>
      </c>
      <c r="Q291" s="18">
        <v>3</v>
      </c>
      <c r="R291" s="18">
        <v>3</v>
      </c>
      <c r="S291" s="18">
        <v>3</v>
      </c>
      <c r="T291" s="18">
        <v>1</v>
      </c>
      <c r="U291" s="18">
        <v>3</v>
      </c>
      <c r="V291" s="18">
        <v>1</v>
      </c>
      <c r="W291" s="18">
        <v>7</v>
      </c>
      <c r="X291" s="18" t="s">
        <v>1352</v>
      </c>
      <c r="Y291" s="18" t="s">
        <v>1354</v>
      </c>
      <c r="Z291" s="18" t="s">
        <v>1364</v>
      </c>
    </row>
    <row r="292" spans="11:26" ht="12.75">
      <c r="K292">
        <v>1</v>
      </c>
      <c r="L292" s="18" t="s">
        <v>1350</v>
      </c>
      <c r="M292" s="18">
        <v>12</v>
      </c>
      <c r="N292" s="18">
        <v>40</v>
      </c>
      <c r="O292" s="18">
        <v>4</v>
      </c>
      <c r="P292" s="18">
        <v>2</v>
      </c>
      <c r="Q292" s="18">
        <v>2</v>
      </c>
      <c r="R292" s="152">
        <v>3</v>
      </c>
      <c r="S292" s="18">
        <v>3</v>
      </c>
      <c r="T292" s="18">
        <v>1</v>
      </c>
      <c r="U292" s="18">
        <v>4</v>
      </c>
      <c r="V292" s="18">
        <v>1</v>
      </c>
      <c r="W292" s="18">
        <v>8</v>
      </c>
      <c r="X292" s="18" t="s">
        <v>1353</v>
      </c>
      <c r="Y292" s="18" t="s">
        <v>1251</v>
      </c>
      <c r="Z292" s="18" t="s">
        <v>1363</v>
      </c>
    </row>
    <row r="293" spans="11:26" ht="12.75">
      <c r="K293">
        <v>1</v>
      </c>
      <c r="L293" s="18" t="s">
        <v>1347</v>
      </c>
      <c r="M293" s="18">
        <v>8</v>
      </c>
      <c r="N293" s="18">
        <v>80</v>
      </c>
      <c r="O293" s="18">
        <v>5</v>
      </c>
      <c r="P293" s="18">
        <v>4</v>
      </c>
      <c r="Q293" s="18">
        <v>3</v>
      </c>
      <c r="R293" s="18">
        <v>4</v>
      </c>
      <c r="S293" s="18">
        <v>4</v>
      </c>
      <c r="T293" s="18">
        <v>1</v>
      </c>
      <c r="U293" s="18">
        <v>5</v>
      </c>
      <c r="V293" s="18">
        <v>1</v>
      </c>
      <c r="W293" s="18">
        <v>7</v>
      </c>
      <c r="X293" s="18" t="s">
        <v>1355</v>
      </c>
      <c r="Y293" s="18" t="s">
        <v>1354</v>
      </c>
      <c r="Z293" s="18" t="s">
        <v>1365</v>
      </c>
    </row>
    <row r="294" spans="11:25" ht="12.75">
      <c r="K294">
        <v>5</v>
      </c>
      <c r="L294" t="s">
        <v>1348</v>
      </c>
      <c r="M294" s="20">
        <v>0</v>
      </c>
      <c r="N294" s="20">
        <v>40</v>
      </c>
      <c r="O294" s="20">
        <v>4</v>
      </c>
      <c r="P294" s="20">
        <v>4</v>
      </c>
      <c r="Q294" s="20">
        <v>3</v>
      </c>
      <c r="R294" s="20">
        <v>3</v>
      </c>
      <c r="S294" s="20">
        <v>4</v>
      </c>
      <c r="T294" s="20">
        <v>1</v>
      </c>
      <c r="U294" s="20">
        <v>3</v>
      </c>
      <c r="V294" s="20">
        <v>1</v>
      </c>
      <c r="W294" s="20">
        <v>8</v>
      </c>
      <c r="X294" s="20" t="s">
        <v>1356</v>
      </c>
      <c r="Y294" s="20" t="s">
        <v>1354</v>
      </c>
    </row>
    <row r="295" spans="11:25" ht="12.75">
      <c r="K295">
        <v>5</v>
      </c>
      <c r="L295" t="s">
        <v>1349</v>
      </c>
      <c r="M295" s="20">
        <v>0</v>
      </c>
      <c r="N295" s="20">
        <v>25</v>
      </c>
      <c r="O295" s="20">
        <v>4</v>
      </c>
      <c r="P295" s="20">
        <v>3</v>
      </c>
      <c r="Q295" s="20">
        <v>3</v>
      </c>
      <c r="R295" s="20">
        <v>3</v>
      </c>
      <c r="S295" s="20">
        <v>3</v>
      </c>
      <c r="T295" s="20">
        <v>1</v>
      </c>
      <c r="U295" s="20">
        <v>3</v>
      </c>
      <c r="V295" s="20">
        <v>1</v>
      </c>
      <c r="W295" s="20">
        <v>7</v>
      </c>
      <c r="X295" s="20"/>
      <c r="Y295" s="20" t="s">
        <v>1354</v>
      </c>
    </row>
    <row r="296" spans="11:25" ht="12.75">
      <c r="K296">
        <v>5</v>
      </c>
      <c r="L296" s="20" t="s">
        <v>1357</v>
      </c>
      <c r="M296" s="20">
        <v>0</v>
      </c>
      <c r="N296" s="20">
        <v>15</v>
      </c>
      <c r="O296" s="20">
        <v>6</v>
      </c>
      <c r="P296" s="20">
        <v>3</v>
      </c>
      <c r="Q296" s="20">
        <v>3</v>
      </c>
      <c r="R296" s="20">
        <v>3</v>
      </c>
      <c r="S296" s="20">
        <v>3</v>
      </c>
      <c r="T296" s="20">
        <v>1</v>
      </c>
      <c r="U296" s="20">
        <v>5</v>
      </c>
      <c r="V296" s="20">
        <v>1</v>
      </c>
      <c r="W296" s="20">
        <v>6</v>
      </c>
      <c r="X296" s="20" t="s">
        <v>1358</v>
      </c>
      <c r="Y296" s="20"/>
    </row>
    <row r="297" spans="15:25" ht="12.75"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</row>
    <row r="298" spans="15:25" ht="12.75"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</row>
    <row r="306" ht="12.75">
      <c r="AA306" s="14" t="s">
        <v>575</v>
      </c>
    </row>
    <row r="307" ht="12.75">
      <c r="AA307" t="s">
        <v>576</v>
      </c>
    </row>
    <row r="308" ht="12.75">
      <c r="AA308" t="s">
        <v>580</v>
      </c>
    </row>
    <row r="309" ht="12.75">
      <c r="AA309" t="s">
        <v>585</v>
      </c>
    </row>
    <row r="310" ht="12.75">
      <c r="AA310" t="s">
        <v>588</v>
      </c>
    </row>
    <row r="311" ht="12.75">
      <c r="AA311" t="s">
        <v>580</v>
      </c>
    </row>
    <row r="312" ht="12.75">
      <c r="AA312" t="s">
        <v>593</v>
      </c>
    </row>
    <row r="320" ht="12.75">
      <c r="Z320" s="14" t="s">
        <v>574</v>
      </c>
    </row>
    <row r="322" ht="12.75">
      <c r="Z322" t="s">
        <v>579</v>
      </c>
    </row>
    <row r="323" ht="12.75">
      <c r="Z323" t="s">
        <v>584</v>
      </c>
    </row>
    <row r="324" ht="12.75">
      <c r="Z324" t="s">
        <v>587</v>
      </c>
    </row>
    <row r="326" spans="12:26" ht="12.75">
      <c r="L326" s="14" t="s">
        <v>569</v>
      </c>
      <c r="M326" s="14" t="s">
        <v>570</v>
      </c>
      <c r="N326" s="14" t="s">
        <v>571</v>
      </c>
      <c r="O326" s="14" t="s">
        <v>572</v>
      </c>
      <c r="P326" s="14" t="s">
        <v>7</v>
      </c>
      <c r="Q326" s="14" t="s">
        <v>8</v>
      </c>
      <c r="R326" s="14" t="s">
        <v>9</v>
      </c>
      <c r="S326" s="14" t="s">
        <v>10</v>
      </c>
      <c r="T326" s="14" t="s">
        <v>11</v>
      </c>
      <c r="U326" s="14" t="s">
        <v>12</v>
      </c>
      <c r="V326" s="14" t="s">
        <v>573</v>
      </c>
      <c r="W326" s="14" t="s">
        <v>14</v>
      </c>
      <c r="X326" s="14" t="s">
        <v>118</v>
      </c>
      <c r="Y326" s="14" t="s">
        <v>400</v>
      </c>
      <c r="Z326" t="s">
        <v>594</v>
      </c>
    </row>
    <row r="327" spans="12:25" ht="12.75">
      <c r="L327" t="s">
        <v>384</v>
      </c>
      <c r="M327">
        <v>30</v>
      </c>
      <c r="N327">
        <v>15</v>
      </c>
      <c r="O327">
        <v>22</v>
      </c>
      <c r="P327">
        <v>4</v>
      </c>
      <c r="Q327">
        <v>4</v>
      </c>
      <c r="R327">
        <v>3</v>
      </c>
      <c r="S327">
        <v>4</v>
      </c>
      <c r="T327">
        <v>4</v>
      </c>
      <c r="U327">
        <v>1</v>
      </c>
      <c r="V327">
        <v>4</v>
      </c>
      <c r="W327">
        <v>2</v>
      </c>
      <c r="X327">
        <v>7</v>
      </c>
      <c r="Y327" t="s">
        <v>578</v>
      </c>
    </row>
    <row r="328" spans="12:25" ht="12.75">
      <c r="L328" t="s">
        <v>577</v>
      </c>
      <c r="M328">
        <v>80</v>
      </c>
      <c r="N328">
        <v>30</v>
      </c>
      <c r="O328">
        <v>25</v>
      </c>
      <c r="P328">
        <v>6</v>
      </c>
      <c r="Q328">
        <v>3</v>
      </c>
      <c r="R328">
        <v>2</v>
      </c>
      <c r="S328">
        <v>4</v>
      </c>
      <c r="T328">
        <v>4</v>
      </c>
      <c r="U328">
        <v>3</v>
      </c>
      <c r="V328">
        <v>3</v>
      </c>
      <c r="W328">
        <v>2</v>
      </c>
      <c r="X328">
        <v>7</v>
      </c>
      <c r="Y328" t="s">
        <v>581</v>
      </c>
    </row>
    <row r="329" spans="12:25" ht="12.75">
      <c r="L329" t="s">
        <v>582</v>
      </c>
      <c r="M329">
        <v>15</v>
      </c>
      <c r="N329">
        <v>15</v>
      </c>
      <c r="O329">
        <v>5</v>
      </c>
      <c r="P329">
        <v>4</v>
      </c>
      <c r="Q329">
        <v>2</v>
      </c>
      <c r="R329">
        <v>4</v>
      </c>
      <c r="S329">
        <v>2</v>
      </c>
      <c r="T329">
        <v>2</v>
      </c>
      <c r="U329">
        <v>1</v>
      </c>
      <c r="V329">
        <v>4</v>
      </c>
      <c r="W329">
        <v>1</v>
      </c>
      <c r="X329">
        <v>8</v>
      </c>
      <c r="Y329" t="s">
        <v>583</v>
      </c>
    </row>
    <row r="330" spans="12:25" ht="12.75">
      <c r="L330" t="s">
        <v>586</v>
      </c>
      <c r="M330">
        <v>30</v>
      </c>
      <c r="N330">
        <v>15</v>
      </c>
      <c r="O330">
        <v>16</v>
      </c>
      <c r="P330">
        <v>4</v>
      </c>
      <c r="Q330">
        <v>2</v>
      </c>
      <c r="R330">
        <v>2</v>
      </c>
      <c r="S330">
        <v>3</v>
      </c>
      <c r="T330">
        <v>3</v>
      </c>
      <c r="U330">
        <v>1</v>
      </c>
      <c r="V330">
        <v>4</v>
      </c>
      <c r="W330">
        <v>1</v>
      </c>
      <c r="X330">
        <v>8</v>
      </c>
      <c r="Y330" t="s">
        <v>552</v>
      </c>
    </row>
    <row r="331" spans="12:25" ht="12.75">
      <c r="L331" t="s">
        <v>589</v>
      </c>
      <c r="M331">
        <v>50</v>
      </c>
      <c r="N331">
        <v>20</v>
      </c>
      <c r="O331">
        <v>21</v>
      </c>
      <c r="P331">
        <v>4</v>
      </c>
      <c r="Q331">
        <v>4</v>
      </c>
      <c r="R331">
        <v>3</v>
      </c>
      <c r="S331">
        <v>4</v>
      </c>
      <c r="T331">
        <v>3</v>
      </c>
      <c r="U331">
        <v>1</v>
      </c>
      <c r="V331">
        <v>4</v>
      </c>
      <c r="W331">
        <v>1</v>
      </c>
      <c r="X331">
        <v>7</v>
      </c>
      <c r="Y331" t="s">
        <v>590</v>
      </c>
    </row>
    <row r="332" spans="12:25" ht="12.75">
      <c r="L332" t="s">
        <v>591</v>
      </c>
      <c r="M332">
        <v>40</v>
      </c>
      <c r="N332">
        <v>20</v>
      </c>
      <c r="O332">
        <v>12</v>
      </c>
      <c r="P332">
        <v>5</v>
      </c>
      <c r="Q332">
        <v>4</v>
      </c>
      <c r="R332">
        <v>5</v>
      </c>
      <c r="S332">
        <v>3</v>
      </c>
      <c r="T332">
        <v>3</v>
      </c>
      <c r="U332">
        <v>1</v>
      </c>
      <c r="V332">
        <v>6</v>
      </c>
      <c r="W332">
        <v>1</v>
      </c>
      <c r="X332">
        <v>8</v>
      </c>
      <c r="Y332" t="s">
        <v>592</v>
      </c>
    </row>
  </sheetData>
  <sheetProtection/>
  <mergeCells count="1">
    <mergeCell ref="E60:J60"/>
  </mergeCells>
  <dataValidations count="2">
    <dataValidation type="list" allowBlank="1" showInputMessage="1" showErrorMessage="1" sqref="A3">
      <formula1>Sources</formula1>
    </dataValidation>
    <dataValidation type="list" allowBlank="1" showInputMessage="1" showErrorMessage="1" sqref="A5">
      <formula1>ItemSelection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STEVENAGE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carl.birch</dc:creator>
  <cp:keywords/>
  <dc:description/>
  <cp:lastModifiedBy>namo</cp:lastModifiedBy>
  <cp:lastPrinted>2009-11-04T22:37:04Z</cp:lastPrinted>
  <dcterms:created xsi:type="dcterms:W3CDTF">2005-03-08T08:57:12Z</dcterms:created>
  <dcterms:modified xsi:type="dcterms:W3CDTF">2009-11-07T07:26:25Z</dcterms:modified>
  <cp:category/>
  <cp:version/>
  <cp:contentType/>
  <cp:contentStatus/>
</cp:coreProperties>
</file>